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<sst xmlns="http://schemas.openxmlformats.org/spreadsheetml/2006/main" count="396" uniqueCount="272">
  <si>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</si>
  <si>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</si>
  <si>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</si>
  <si>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</si>
  <si>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</si>
  <si>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</si>
  <si>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</si>
  <si>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</si>
  <si>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</si>
  <si>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</si>
  <si>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</si>
  <si>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</si>
  <si>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</si>
  <si>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</si>
  <si>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ул. Шишкова, д. 70</t>
  </si>
  <si>
    <t>Общ. площ.,кв.м.</t>
  </si>
  <si>
    <t>Внутридомовое инженерное оборудование и технические устройства</t>
  </si>
  <si>
    <t>Смена отдельных участков трубопроводов из стальных водогазопроводных неоцинкованных труб диаметром 15 мм</t>
  </si>
  <si>
    <t>100 м трубопровода</t>
  </si>
  <si>
    <t>Смена отдельных участков трубопроводов из стальных водогазопроводных неоцинкованных труб диаметром 20 мм</t>
  </si>
  <si>
    <t>Текущий ремонт пластинчатых теплообменников</t>
  </si>
  <si>
    <t>1 теплообменник</t>
  </si>
  <si>
    <t>Автоматизация теплового пункта</t>
  </si>
  <si>
    <t>1 пункт</t>
  </si>
  <si>
    <t>Ремонт прибора учета</t>
  </si>
  <si>
    <t>прибор</t>
  </si>
  <si>
    <t>Замена прибора учета</t>
  </si>
  <si>
    <t>Ремонт центробежных насосов</t>
  </si>
  <si>
    <t>насос</t>
  </si>
  <si>
    <t>Смена вентиля диаметром до 25 мм</t>
  </si>
  <si>
    <t>100 вентилей</t>
  </si>
  <si>
    <t>Смена отдельных участков трубопроводов  водоснабжения из стальных водогазопроводных оцинкованных труб диаметром  15 мм</t>
  </si>
  <si>
    <t>100 м трубопроводов</t>
  </si>
  <si>
    <t>Смена вентилей и клапанов обратных муфтовых диаметром до 20 мм</t>
  </si>
  <si>
    <t>100 шт.</t>
  </si>
  <si>
    <t>Ремонт щита дистанционного управления системой дымоудаления</t>
  </si>
  <si>
    <t>1 щит</t>
  </si>
  <si>
    <t>Ремонт исполнительного устройства системы дымоудаления</t>
  </si>
  <si>
    <t>1 устройство</t>
  </si>
  <si>
    <t>Ремонт электропанели этажного клапана системы дымоудаления</t>
  </si>
  <si>
    <t>1 клапан</t>
  </si>
  <si>
    <t>Ремонт щита местного управления проточно-вытяжными вентиляторами</t>
  </si>
  <si>
    <t>Замена щитов управления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</si>
  <si>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</si>
  <si>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</si>
  <si>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</si>
  <si>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железобетонных перекрытий</t>
  </si>
  <si>
    <t>1000 кв.м. полов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</si>
  <si>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</si>
  <si>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</si>
  <si>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</si>
  <si>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</si>
  <si>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</si>
  <si>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</si>
  <si>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</si>
  <si>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</si>
  <si>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</si>
  <si>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Осмотр  силовых установок</t>
  </si>
  <si>
    <t>1 электромотор</t>
  </si>
  <si>
    <t>Осмотр внутриквартирных устройств системы центрального отопления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</si>
  <si>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</si>
  <si>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</si>
  <si>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Устранение аварии на внутридомовых инженерных сетях при сроке эксплуатации многоквартирного дома от 11 до 30  лет</t>
  </si>
  <si>
    <t>1000 м2  общей площади жилых помещений, не оборудованных газовыми плитами (в год для одной смены)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</si>
  <si>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</si>
  <si>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</si>
  <si>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с лифтами без мусоропроводов)</t>
  </si>
  <si>
    <t>100 м2  убираемой  площади</t>
  </si>
  <si>
    <t>Подметание лестничных площадок и маршей выше третьего этажа с предварительным их увлажнением  (в доме с лифтами без мусоропроводов)</t>
  </si>
  <si>
    <t>100 м2 убираемой  площади</t>
  </si>
  <si>
    <t>Подметание кабин лифтов  с предварительным их увлажнением  (в доме с лифтами без мусоропроводов)</t>
  </si>
  <si>
    <t>100 м2  лифтов</t>
  </si>
  <si>
    <t>Мытье  лестничных площадок и маршей нижних трех этажей  (в доме с лифтами без мусоропроводов)</t>
  </si>
  <si>
    <t>Мытье  лестничных площадок и маршей  выше третьего этажа  (в доме с лифтами без мусоропроводов)</t>
  </si>
  <si>
    <t>Мытье  лифтов  (в доме с лифтами без мусоропроводов)</t>
  </si>
  <si>
    <t>Протирка пыли  с колпаков  светильников (в подвалах, на чердаках и лестничных клетках)</t>
  </si>
  <si>
    <t>Протирка пыли  с подоконников в помещениях общего  пользования</t>
  </si>
  <si>
    <t xml:space="preserve">100 м2 подоконников </t>
  </si>
  <si>
    <t>Подметание  чердаков и подвалов без предварительного увлажнения</t>
  </si>
  <si>
    <t>100 м2 чердаков и подвалов</t>
  </si>
  <si>
    <t>Очистка чердаков  и подвалов от строительного мусора</t>
  </si>
  <si>
    <t>100 кг строительного мусора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</si>
  <si>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</si>
  <si>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</si>
  <si>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</si>
  <si>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</si>
  <si>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</si>
  <si>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</si>
  <si>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Влажная протирка стен (с моющим средством)</t>
  </si>
  <si>
    <t>100 кв. м стен</t>
  </si>
  <si>
    <t>Влажная протирка отопительных приборов (моющим средством)</t>
  </si>
  <si>
    <t>100 кв. м отопительных приборов</t>
  </si>
  <si>
    <t>Подметание в летний период  земельного участка с усовершенствованным покрытием 1 класса</t>
  </si>
  <si>
    <t>1 000 кв.м. территории</t>
  </si>
  <si>
    <t>Полив тротуаров 1 класса</t>
  </si>
  <si>
    <t>100 000 кв.м. территории</t>
  </si>
  <si>
    <t>Уборка газонов средней засоренности от листьев, сучьев, мусора</t>
  </si>
  <si>
    <t>Уборка газонов от случайного мусора</t>
  </si>
  <si>
    <t>100 000 м2</t>
  </si>
  <si>
    <t>Полив газонов</t>
  </si>
  <si>
    <t>на 100 000 кв.м.</t>
  </si>
  <si>
    <t>Стрижка газонов</t>
  </si>
  <si>
    <t>на 100 кв.м.</t>
  </si>
  <si>
    <t>Вырезка сухих ветвей и поросли</t>
  </si>
  <si>
    <t>100 деревьев</t>
  </si>
  <si>
    <t>Формирование кроны кустарников</t>
  </si>
  <si>
    <t>1000 кустов</t>
  </si>
  <si>
    <t>Окраска скамьи без спинки с металлическими опорами</t>
  </si>
  <si>
    <t>скамья</t>
  </si>
  <si>
    <t>Окраска качелей-маятника</t>
  </si>
  <si>
    <t>качели</t>
  </si>
  <si>
    <t>Окраска поверхности песочницы</t>
  </si>
  <si>
    <t>песочница</t>
  </si>
  <si>
    <t>Окраска лестницы</t>
  </si>
  <si>
    <t>лестница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</si>
  <si>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</si>
  <si>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</si>
  <si>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</si>
  <si>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Подметание свежевыпавшего снега толщиной слоя до 2 см дорожной комбинированной машиной</t>
  </si>
  <si>
    <t>1000 м2</t>
  </si>
  <si>
    <t>Подметание свежевыпавшего снега толщиной слоя до 2 см трактором</t>
  </si>
  <si>
    <t>Сдвигание свежевыпавшего снега толщиной слоя свыше 2 см в валы или кучи трактором</t>
  </si>
  <si>
    <t>Скалывание и уборка льда и уплотненного снега толщиной слоя свыше 2 см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</si>
  <si>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</si>
  <si>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</si>
  <si>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</si>
  <si>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</si>
  <si>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</si>
  <si>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Перекидывание снега и скола</t>
  </si>
  <si>
    <t>1 м3</t>
  </si>
  <si>
    <t>Мытье ступеней и площадок перед входом в подъезд</t>
  </si>
  <si>
    <t>Покраска ограждений газона</t>
  </si>
  <si>
    <t>пог.м.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</si>
  <si>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</si>
  <si>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</si>
  <si>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</si>
  <si>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</si>
  <si>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</si>
  <si>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</si>
  <si>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</si>
  <si>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</si>
  <si>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</si>
  <si>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</si>
  <si>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</si>
  <si>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</si>
  <si>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</si>
  <si>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</si>
  <si>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</si>
  <si>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</si>
  <si>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Дворник 1 разряда</t>
  </si>
  <si>
    <t>Каменщик 3 разряда</t>
  </si>
  <si>
    <t>Кровельщик по рулонным кровлям и по кровлям из штучных материалов 4 разряда</t>
  </si>
  <si>
    <t>Маляр 2 разряда</t>
  </si>
  <si>
    <t>Монтажник санитарно-технических систем и оборудования 4 разряда</t>
  </si>
  <si>
    <t>Рабочий зеленого хозяйства 3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</si>
  <si>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</si>
  <si>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</si>
  <si>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</si>
  <si>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3 разряда</t>
  </si>
  <si>
    <t>Слесарь по контрольно-измерительным приборам и автоматике 4 разряда</t>
  </si>
  <si>
    <t>Слесарь по контрольно-измерительным приборам и автоматике 5 разряда</t>
  </si>
  <si>
    <t>Слесарь по обслуживанию тепловых пунктов 3 разряда</t>
  </si>
  <si>
    <t>Слесарь по обслуживанию тепловых пунктов 4 разряда</t>
  </si>
  <si>
    <t>Слесарь по обслуживанию тепловых пунктов 5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</si>
  <si>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</si>
  <si>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</si>
  <si>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</si>
  <si>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</si>
  <si>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Слесарь-электрик по ремонту электрооборудования 4 разряда</t>
  </si>
  <si>
    <t>Слесарь-электрик по ремонту электрооборудования 5 разряда</t>
  </si>
  <si>
    <t>Столяр строительный 4 разряда</t>
  </si>
  <si>
    <t>Электрогазосварщик  5 разряда</t>
  </si>
  <si>
    <t>чел.-час./смену</t>
  </si>
  <si>
    <t>Электромонтер охранно-пожарной сигнализации 4 разряда</t>
  </si>
  <si>
    <t>Электромонтер охранно-пожарной сигнализации 5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</si>
  <si>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</si>
  <si>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</si>
  <si>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</si>
  <si>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Арматура муфтовая неоцинкованная  к трубопроводам диаметром 15 мм</t>
  </si>
  <si>
    <t>шт.</t>
  </si>
  <si>
    <t>Арматура муфтовая неоцинкованная к трубопроводам диаметром 20 мм</t>
  </si>
  <si>
    <t>Арматура муфтовая оцинкованная  к трубопроводам диаметром 15 мм</t>
  </si>
  <si>
    <t>Бензин</t>
  </si>
  <si>
    <t>т</t>
  </si>
  <si>
    <t>Блок автоматизации</t>
  </si>
  <si>
    <t>Болты с гайками и шайбами строительные</t>
  </si>
  <si>
    <t xml:space="preserve">Вазелин технический </t>
  </si>
  <si>
    <t>кг</t>
  </si>
  <si>
    <t>Вентили проходные муфтовые 15КЧ18Р для воды, давлением 1.6 Мпа (16 кгс/см2) диаметром 20 мм</t>
  </si>
  <si>
    <t>Вентиль обратный муфтовый диаметром до 20 мм</t>
  </si>
  <si>
    <t>Ветошь</t>
  </si>
  <si>
    <t>Винты с полукруглой головкой длиной 55 - 120 мм</t>
  </si>
  <si>
    <t>Вода водопроводная</t>
  </si>
  <si>
    <t>м3</t>
  </si>
  <si>
    <t>Водомер диаметром до 100 мм (СТВ-100)</t>
  </si>
  <si>
    <t>Втулка</t>
  </si>
  <si>
    <t>Выключатели автоматические</t>
  </si>
  <si>
    <t>Гильза</t>
  </si>
  <si>
    <t>Датчик давления</t>
  </si>
  <si>
    <t>Датчик несанкционированного проникновения</t>
  </si>
  <si>
    <t>Датчик температуры</t>
  </si>
  <si>
    <t>Известь строительная негашеная хлорная марки А</t>
  </si>
  <si>
    <t xml:space="preserve">Керосин для технических целей марок КТ-1, КТ-2 </t>
  </si>
  <si>
    <t>Краны переходные</t>
  </si>
  <si>
    <t>Краски масляные земляные  МА-0115: мумия, сурик  железный</t>
  </si>
  <si>
    <t>Краски масляные и алкидные густотертые: цинковые МА-011-2Н</t>
  </si>
  <si>
    <t>Краски масляные и алкидные цветные, готовые к применению для наружных работ МА-15</t>
  </si>
  <si>
    <t xml:space="preserve">Лен трепаный </t>
  </si>
  <si>
    <t xml:space="preserve">Лента изоляционная прорезиненная односторонняя ширина 20 мм, толщина 0,25-0,35 мм </t>
  </si>
  <si>
    <t xml:space="preserve">Манометры общего назначения с трехходовым краном ОБМ1-100 </t>
  </si>
  <si>
    <t>компл.</t>
  </si>
  <si>
    <t xml:space="preserve">Масса корундовая набивная марки МК-90                   </t>
  </si>
  <si>
    <t>Мешки полиэтиленовые, 60 л</t>
  </si>
  <si>
    <t>1000 шт.</t>
  </si>
  <si>
    <t>Моющее средство</t>
  </si>
  <si>
    <t>Мыло</t>
  </si>
  <si>
    <t xml:space="preserve">Набивка сальника водяного насоса с двухслойным оплетением сердечника, квадратная, диаметром 12 мм </t>
  </si>
  <si>
    <t>Натр едкий (сода каустическая) технический марки ТР</t>
  </si>
  <si>
    <t>Олифа комбинированная К-3</t>
  </si>
  <si>
    <t>Олифа натуральная</t>
  </si>
  <si>
    <t>Очес льняной</t>
  </si>
  <si>
    <t>Паронит</t>
  </si>
  <si>
    <t>Первичный преобразователь расхода</t>
  </si>
  <si>
    <t>Подшипники для насосных агрегатов</t>
  </si>
  <si>
    <t>Поковки простые строительные (скобы, закрепы, хомуты и т.п.) массой до 1,6 кг</t>
  </si>
  <si>
    <t>Преобразователь давления в комплекте</t>
  </si>
  <si>
    <t>Преобразователь расхода в комплекте д. до 50 мм</t>
  </si>
  <si>
    <t>Провода силовые</t>
  </si>
  <si>
    <t>1000 пог. м.</t>
  </si>
  <si>
    <t>Прокладки резиновые (пластина техническая прессованная)</t>
  </si>
  <si>
    <t>Регулятор давления</t>
  </si>
  <si>
    <t>Регулятор расхода</t>
  </si>
  <si>
    <t>Реле контроля напряжения</t>
  </si>
  <si>
    <t>Скобы металлические</t>
  </si>
  <si>
    <t>Смазка солидол жировой Ж</t>
  </si>
  <si>
    <t>Сурик свинцовый тертый</t>
  </si>
  <si>
    <t>Тепловычислитель в комплекте</t>
  </si>
  <si>
    <t>Термометр прямой (угловой) ртутный (ножка 66 мм) до 160 град С в оправе</t>
  </si>
  <si>
    <t>Термопреобразователь в комплекте</t>
  </si>
  <si>
    <t>Ткань мешочная</t>
  </si>
  <si>
    <t>10 м2</t>
  </si>
  <si>
    <t>Ткань хлопчатобумажная техническая</t>
  </si>
  <si>
    <t>м2</t>
  </si>
  <si>
    <t>Трубы стальные сварные водогазопроводные с резьбой оцинкованные обыкновенные диаметр условного прохода 15 мм, толщина стенки 2.8 мм</t>
  </si>
  <si>
    <t>пог. м</t>
  </si>
  <si>
    <t>Трубы стальные сварные водогазопроводные с резьбой черные обыкновенные (неоцинкованные) диаметр условного прохода 15 мм, толщина стенки 2.8 мм</t>
  </si>
  <si>
    <t>Трубы стальные сварные водогазопроводные с резьбой черные обыкновенные (неоцинкованные) диаметр условного прохода 20 мм, толщина стенки 2.8 мм</t>
  </si>
  <si>
    <t>Фильтры для очистки воды в трубопроводах систем отопления</t>
  </si>
  <si>
    <t>Шаровой кран</t>
  </si>
  <si>
    <t>Шкурка шлифовальная двухслойная с зернистостью 40-25</t>
  </si>
  <si>
    <t>Шнур полиамидный крученый диаметром 2 мм</t>
  </si>
  <si>
    <t>Шпатлевка масляно-клеевая</t>
  </si>
  <si>
    <t>Щит управления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</si>
  <si>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</si>
  <si>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</si>
  <si>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</si>
  <si>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</si>
  <si>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Грабли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</si>
  <si>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</si>
  <si>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</si>
  <si>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</si>
  <si>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</si>
  <si>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</si>
  <si>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</si>
  <si>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</si>
  <si>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Шланг поливочный, 20 м</t>
  </si>
  <si>
    <t>Щетка д/пола 280 мм с черенком на резьбе 1,2 м.</t>
  </si>
  <si>
    <t>Машины/Механизмы</t>
  </si>
  <si>
    <t>Газонокосилка</t>
  </si>
  <si>
    <t>маш.-час</t>
  </si>
  <si>
    <t>Машина дорожная комбинированная (до 100 л.с.)</t>
  </si>
  <si>
    <t>Трактор (до 100 л.с.)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</si>
</sst>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5"/>
  <sheetViews>
    <sheetView workbookViewId="0" topLeftCell="E74">
      <selection activeCell="A2" sqref="A2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3" spans="2:14" ht="54.75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2:14" ht="24.75" customHeight="1">
      <c r="B4" s="35" t="s">
        <v>14</v>
      </c>
      <c r="C4" s="36"/>
      <c r="D4" s="36"/>
      <c r="E4" s="36"/>
      <c r="F4" s="36"/>
      <c r="G4" s="37"/>
      <c r="H4" s="37"/>
      <c r="I4" s="37"/>
      <c r="J4" s="37"/>
      <c r="K4" s="37"/>
      <c r="L4" s="38" t="s">
        <v>15</v>
      </c>
      <c r="M4" s="38"/>
      <c r="N4" s="16">
        <v>19030</v>
      </c>
    </row>
    <row r="5" spans="2:14" ht="21.75" customHeight="1">
      <c r="B5" s="39" t="s">
        <v>16</v>
      </c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2"/>
    </row>
    <row r="6" spans="2:14" ht="36">
      <c r="B6" s="8">
        <v>1</v>
      </c>
      <c r="C6" s="6" t="s">
        <v>17</v>
      </c>
      <c r="D6" s="6" t="s">
        <v>18</v>
      </c>
      <c r="E6" s="10">
        <v>0.02</v>
      </c>
      <c r="F6" s="10">
        <v>2</v>
      </c>
      <c r="G6" s="13">
        <f>13709.412541629*E6*F6</f>
        <v>548.37650166516</v>
      </c>
      <c r="H6" s="13">
        <f>9831.801825216*E6*F6</f>
        <v>393.27207300864</v>
      </c>
      <c r="I6" s="13">
        <f aca="true" t="shared" si="0" ref="I6:I33">0*E6*F6</f>
        <v>0</v>
      </c>
      <c r="J6" s="13">
        <f>13051.360739631*E6*F6</f>
        <v>522.05442958524</v>
      </c>
      <c r="K6" s="13">
        <f>3842.22038618*E6*F6</f>
        <v>153.6888154472</v>
      </c>
      <c r="L6" s="13">
        <f>2741.8825083258*E6*F6</f>
        <v>109.675300333032</v>
      </c>
      <c r="M6" s="13">
        <f aca="true" t="shared" si="1" ref="M6:M33">SUM(G6:L6)</f>
        <v>1727.067120039272</v>
      </c>
      <c r="N6" s="17">
        <f>IF(N4&gt;0,(M6/$N$4/12),0)</f>
        <v>0.00756291434594181</v>
      </c>
    </row>
    <row r="7" spans="2:14" ht="36">
      <c r="B7" s="9">
        <v>2</v>
      </c>
      <c r="C7" s="7" t="s">
        <v>19</v>
      </c>
      <c r="D7" s="7" t="s">
        <v>18</v>
      </c>
      <c r="E7" s="11">
        <v>0.03</v>
      </c>
      <c r="F7" s="11">
        <v>2</v>
      </c>
      <c r="G7" s="14">
        <f>14394.88317*E7*F7</f>
        <v>863.6929901999999</v>
      </c>
      <c r="H7" s="14">
        <f>12292.780905216*E7*F7</f>
        <v>737.5668543129599</v>
      </c>
      <c r="I7" s="14">
        <f t="shared" si="0"/>
        <v>0</v>
      </c>
      <c r="J7" s="14">
        <f>13703.92877784*E7*F7</f>
        <v>822.2357266703999</v>
      </c>
      <c r="K7" s="14">
        <f>4241.1172495709*E7*F7</f>
        <v>254.46703497425398</v>
      </c>
      <c r="L7" s="14">
        <f>2878.976634*E7*F7</f>
        <v>172.73859804</v>
      </c>
      <c r="M7" s="14">
        <f t="shared" si="1"/>
        <v>2850.7012041976136</v>
      </c>
      <c r="N7" s="18">
        <f>IF(N4&gt;0,(M7/$N$4/12),0)</f>
        <v>0.012483364880879373</v>
      </c>
    </row>
    <row r="8" spans="2:14" ht="12">
      <c r="B8" s="9">
        <v>3</v>
      </c>
      <c r="C8" s="7" t="s">
        <v>20</v>
      </c>
      <c r="D8" s="7" t="s">
        <v>21</v>
      </c>
      <c r="E8" s="11">
        <v>1</v>
      </c>
      <c r="F8" s="11">
        <v>1</v>
      </c>
      <c r="G8" s="14">
        <f>2180.9802*E8*F8</f>
        <v>2180.9802</v>
      </c>
      <c r="H8" s="14">
        <f>2084.25727566*E8*F8</f>
        <v>2084.25727566</v>
      </c>
      <c r="I8" s="14">
        <f t="shared" si="0"/>
        <v>0</v>
      </c>
      <c r="J8" s="14">
        <f>2076.2931504*E8*F8</f>
        <v>2076.2931504</v>
      </c>
      <c r="K8" s="14">
        <f>665.8607157363*E8*F8</f>
        <v>665.8607157363</v>
      </c>
      <c r="L8" s="14">
        <f>436.19604*E8*F8</f>
        <v>436.19604</v>
      </c>
      <c r="M8" s="14">
        <f t="shared" si="1"/>
        <v>7443.5873817963</v>
      </c>
      <c r="N8" s="18">
        <f>IF(N4&gt;0,(M8/$N$4/12),0)</f>
        <v>0.032595845952865216</v>
      </c>
    </row>
    <row r="9" spans="2:14" ht="12">
      <c r="B9" s="9">
        <v>4</v>
      </c>
      <c r="C9" s="7" t="s">
        <v>22</v>
      </c>
      <c r="D9" s="7" t="s">
        <v>23</v>
      </c>
      <c r="E9" s="11">
        <v>1</v>
      </c>
      <c r="F9" s="11">
        <v>0.1</v>
      </c>
      <c r="G9" s="14">
        <f>4637.99556*E9*F9</f>
        <v>463.79955600000005</v>
      </c>
      <c r="H9" s="14">
        <f>219738.504195*E9*F9</f>
        <v>21973.8504195</v>
      </c>
      <c r="I9" s="14">
        <f t="shared" si="0"/>
        <v>0</v>
      </c>
      <c r="J9" s="14">
        <f>4415.37177312*E9*F9</f>
        <v>441.53717731200004</v>
      </c>
      <c r="K9" s="14">
        <f>24023.146510453*E9*F9</f>
        <v>2402.3146510453003</v>
      </c>
      <c r="L9" s="14">
        <f>927.599112*E9*F9</f>
        <v>92.7599112</v>
      </c>
      <c r="M9" s="14">
        <f t="shared" si="1"/>
        <v>25374.2617150573</v>
      </c>
      <c r="N9" s="18">
        <f>IF(N4&gt;0,(M9/$N$4/12),0)</f>
        <v>0.11111517654167674</v>
      </c>
    </row>
    <row r="10" spans="2:14" ht="12">
      <c r="B10" s="9">
        <v>5</v>
      </c>
      <c r="C10" s="7" t="s">
        <v>24</v>
      </c>
      <c r="D10" s="7" t="s">
        <v>25</v>
      </c>
      <c r="E10" s="11">
        <v>1</v>
      </c>
      <c r="F10" s="11">
        <v>0.2</v>
      </c>
      <c r="G10" s="14">
        <f>370.321536*E10*F10</f>
        <v>74.0643072</v>
      </c>
      <c r="H10" s="14">
        <f>34101.8916084*E10*F10</f>
        <v>6820.37832168</v>
      </c>
      <c r="I10" s="14">
        <f t="shared" si="0"/>
        <v>0</v>
      </c>
      <c r="J10" s="14">
        <f>352.546102272*E10*F10</f>
        <v>70.5092204544</v>
      </c>
      <c r="K10" s="14">
        <f>3656.5997209006*E10*F10</f>
        <v>731.31994418012</v>
      </c>
      <c r="L10" s="14">
        <f>74.0643072*E10*F10</f>
        <v>14.81286144</v>
      </c>
      <c r="M10" s="14">
        <f t="shared" si="1"/>
        <v>7711.08465495452</v>
      </c>
      <c r="N10" s="18">
        <f>IF(N4&gt;0,(M10/$N$4/12),0)</f>
        <v>0.03376723005322526</v>
      </c>
    </row>
    <row r="11" spans="2:14" ht="12">
      <c r="B11" s="9">
        <v>6</v>
      </c>
      <c r="C11" s="7" t="s">
        <v>26</v>
      </c>
      <c r="D11" s="7" t="s">
        <v>25</v>
      </c>
      <c r="E11" s="11">
        <v>1</v>
      </c>
      <c r="F11" s="11">
        <v>0.1</v>
      </c>
      <c r="G11" s="14">
        <f>450.439176*E11*F11</f>
        <v>45.0439176</v>
      </c>
      <c r="H11" s="14">
        <f>79266.852*E11*F11</f>
        <v>7926.6852</v>
      </c>
      <c r="I11" s="14">
        <f t="shared" si="0"/>
        <v>0</v>
      </c>
      <c r="J11" s="14">
        <f>428.818095552*E11*F11</f>
        <v>42.8818095552</v>
      </c>
      <c r="K11" s="14">
        <f>8415.341473513*E11*F11</f>
        <v>841.5341473513001</v>
      </c>
      <c r="L11" s="14">
        <f>90.0878352*E11*F11</f>
        <v>9.00878352</v>
      </c>
      <c r="M11" s="14">
        <f t="shared" si="1"/>
        <v>8865.153858026499</v>
      </c>
      <c r="N11" s="18">
        <f>IF(N4&gt;0,(M11/$N$4/12),0)</f>
        <v>0.038820957514566906</v>
      </c>
    </row>
    <row r="12" spans="2:14" ht="12">
      <c r="B12" s="9">
        <v>7</v>
      </c>
      <c r="C12" s="7" t="s">
        <v>27</v>
      </c>
      <c r="D12" s="7" t="s">
        <v>28</v>
      </c>
      <c r="E12" s="11">
        <v>1</v>
      </c>
      <c r="F12" s="11">
        <v>0.5</v>
      </c>
      <c r="G12" s="14">
        <f>2225.49*E12*F12</f>
        <v>1112.745</v>
      </c>
      <c r="H12" s="14">
        <f>6458.72605434*E12*F12</f>
        <v>3229.36302717</v>
      </c>
      <c r="I12" s="14">
        <f t="shared" si="0"/>
        <v>0</v>
      </c>
      <c r="J12" s="14">
        <f>2118.66648*E12*F12</f>
        <v>1059.33324</v>
      </c>
      <c r="K12" s="14">
        <f>1134.3026661057*E12*F12</f>
        <v>567.15133305285</v>
      </c>
      <c r="L12" s="14">
        <f>445.098*E12*F12</f>
        <v>222.549</v>
      </c>
      <c r="M12" s="14">
        <f t="shared" si="1"/>
        <v>6191.141600222849</v>
      </c>
      <c r="N12" s="18">
        <f>IF(N4&gt;0,(M12/$N$4/12),0)</f>
        <v>0.02711132247426366</v>
      </c>
    </row>
    <row r="13" spans="2:14" ht="12">
      <c r="B13" s="9">
        <v>8</v>
      </c>
      <c r="C13" s="7" t="s">
        <v>29</v>
      </c>
      <c r="D13" s="7" t="s">
        <v>30</v>
      </c>
      <c r="E13" s="11">
        <v>0.06</v>
      </c>
      <c r="F13" s="11">
        <v>1</v>
      </c>
      <c r="G13" s="14">
        <f>9258.0384*E13*F13</f>
        <v>555.482304</v>
      </c>
      <c r="H13" s="14">
        <f>19166.14372428*E13*F13</f>
        <v>1149.9686234567998</v>
      </c>
      <c r="I13" s="14">
        <f t="shared" si="0"/>
        <v>0</v>
      </c>
      <c r="J13" s="14">
        <f>8813.6525568*E13*F13</f>
        <v>528.8191534079999</v>
      </c>
      <c r="K13" s="14">
        <f>3909.9726415134*E13*F13</f>
        <v>234.598358490804</v>
      </c>
      <c r="L13" s="14">
        <f>1851.60768*E13*F13</f>
        <v>111.0964608</v>
      </c>
      <c r="M13" s="14">
        <f t="shared" si="1"/>
        <v>2579.9649001556036</v>
      </c>
      <c r="N13" s="18">
        <f>IF(N4&gt;0,(M13/$N$4/12),0)</f>
        <v>0.011297796900313557</v>
      </c>
    </row>
    <row r="14" spans="2:14" ht="36">
      <c r="B14" s="9">
        <v>9</v>
      </c>
      <c r="C14" s="7" t="s">
        <v>31</v>
      </c>
      <c r="D14" s="7" t="s">
        <v>32</v>
      </c>
      <c r="E14" s="11">
        <v>0.03</v>
      </c>
      <c r="F14" s="11">
        <v>2</v>
      </c>
      <c r="G14" s="14">
        <f>12541.11882*E14*F14</f>
        <v>752.4671291999999</v>
      </c>
      <c r="H14" s="14">
        <f>12637.432649016*E14*F14</f>
        <v>758.24595894096</v>
      </c>
      <c r="I14" s="14">
        <f t="shared" si="0"/>
        <v>0</v>
      </c>
      <c r="J14" s="14">
        <f>11939.14511664*E14*F14</f>
        <v>716.3487069984</v>
      </c>
      <c r="K14" s="14">
        <f>3897.3581414939*E14*F14</f>
        <v>233.84148848963397</v>
      </c>
      <c r="L14" s="14">
        <f>2508.223764*E14*F14</f>
        <v>150.49342584</v>
      </c>
      <c r="M14" s="14">
        <f t="shared" si="1"/>
        <v>2611.3967094689933</v>
      </c>
      <c r="N14" s="18">
        <f>IF(N4&gt;0,(M14/$N$4/12),0)</f>
        <v>0.011435438384432445</v>
      </c>
    </row>
    <row r="15" spans="2:14" ht="24">
      <c r="B15" s="9">
        <v>10</v>
      </c>
      <c r="C15" s="7" t="s">
        <v>33</v>
      </c>
      <c r="D15" s="7" t="s">
        <v>34</v>
      </c>
      <c r="E15" s="11">
        <v>0.05</v>
      </c>
      <c r="F15" s="11">
        <v>1</v>
      </c>
      <c r="G15" s="14">
        <f>13604.0958*E15*F15</f>
        <v>680.20479</v>
      </c>
      <c r="H15" s="14">
        <f>19891.43807868*E15*F15</f>
        <v>994.571903934</v>
      </c>
      <c r="I15" s="14">
        <f t="shared" si="0"/>
        <v>0</v>
      </c>
      <c r="J15" s="14">
        <f>12951.0992016*E15*F15</f>
        <v>647.55496008</v>
      </c>
      <c r="K15" s="14">
        <f>4876.8964734294*E15*F15</f>
        <v>243.84482367147004</v>
      </c>
      <c r="L15" s="14">
        <f>2720.81916*E15*F15</f>
        <v>136.04095800000002</v>
      </c>
      <c r="M15" s="14">
        <f t="shared" si="1"/>
        <v>2702.21743568547</v>
      </c>
      <c r="N15" s="18">
        <f>IF(N4&gt;0,(M15/$N$4/12),0)</f>
        <v>0.011833146942045321</v>
      </c>
    </row>
    <row r="16" spans="2:14" ht="24">
      <c r="B16" s="9">
        <v>11</v>
      </c>
      <c r="C16" s="7" t="s">
        <v>35</v>
      </c>
      <c r="D16" s="7" t="s">
        <v>36</v>
      </c>
      <c r="E16" s="11">
        <v>34</v>
      </c>
      <c r="F16" s="11">
        <v>0.5</v>
      </c>
      <c r="G16" s="14">
        <f>236.599688*E16*F16</f>
        <v>4022.1946959999996</v>
      </c>
      <c r="H16" s="14">
        <f>90.631161936*E16*F16</f>
        <v>1540.7297529119999</v>
      </c>
      <c r="I16" s="14">
        <f t="shared" si="0"/>
        <v>0</v>
      </c>
      <c r="J16" s="14">
        <f>225.242902976*E16*F16</f>
        <v>3829.1293505920003</v>
      </c>
      <c r="K16" s="14">
        <f>58.00974405576*E16*F16</f>
        <v>986.1656489479201</v>
      </c>
      <c r="L16" s="14">
        <f>47.3199376*E16*F16</f>
        <v>804.4389392</v>
      </c>
      <c r="M16" s="14">
        <f t="shared" si="1"/>
        <v>11182.65838765192</v>
      </c>
      <c r="N16" s="18">
        <f>IF(N4&gt;0,(M16/$N$4/12),0)</f>
        <v>0.0489694271661058</v>
      </c>
    </row>
    <row r="17" spans="2:14" ht="24">
      <c r="B17" s="9">
        <v>12</v>
      </c>
      <c r="C17" s="7" t="s">
        <v>37</v>
      </c>
      <c r="D17" s="7" t="s">
        <v>38</v>
      </c>
      <c r="E17" s="11">
        <v>34</v>
      </c>
      <c r="F17" s="11">
        <v>1</v>
      </c>
      <c r="G17" s="14">
        <f>69.411232*E17*F17</f>
        <v>2359.981888</v>
      </c>
      <c r="H17" s="14">
        <f>95.179109256*E17*F17</f>
        <v>3236.089714704</v>
      </c>
      <c r="I17" s="14">
        <f t="shared" si="0"/>
        <v>0</v>
      </c>
      <c r="J17" s="14">
        <f>66.079492864*E17*F17</f>
        <v>2246.702757376</v>
      </c>
      <c r="K17" s="14">
        <f>24.2203325826*E17*F17</f>
        <v>823.4913078084</v>
      </c>
      <c r="L17" s="14">
        <f>13.8822464*E17*F17</f>
        <v>471.99637759999996</v>
      </c>
      <c r="M17" s="14">
        <f t="shared" si="1"/>
        <v>9138.262045488402</v>
      </c>
      <c r="N17" s="18">
        <f>IF(N4&gt;0,(M17/$N$4/12),0)</f>
        <v>0.040016912092697504</v>
      </c>
    </row>
    <row r="18" spans="2:14" ht="24">
      <c r="B18" s="9">
        <v>13</v>
      </c>
      <c r="C18" s="7" t="s">
        <v>39</v>
      </c>
      <c r="D18" s="7" t="s">
        <v>40</v>
      </c>
      <c r="E18" s="11">
        <v>34</v>
      </c>
      <c r="F18" s="11">
        <v>1</v>
      </c>
      <c r="G18" s="14">
        <f>226.237504*E18*F18</f>
        <v>7692.075136</v>
      </c>
      <c r="H18" s="14">
        <f>29.668758336*E18*F18</f>
        <v>1008.737783424</v>
      </c>
      <c r="I18" s="14">
        <f t="shared" si="0"/>
        <v>0</v>
      </c>
      <c r="J18" s="14">
        <f>215.378103808*E18*F18</f>
        <v>7322.855529472</v>
      </c>
      <c r="K18" s="14">
        <f>49.48485844512*E18*F18</f>
        <v>1682.48518713408</v>
      </c>
      <c r="L18" s="14">
        <f>45.2475008*E18*F18</f>
        <v>1538.4150272</v>
      </c>
      <c r="M18" s="14">
        <f t="shared" si="1"/>
        <v>19244.568663230082</v>
      </c>
      <c r="N18" s="18">
        <f>IF(N4&gt;0,(M18/$N$4/12),0)</f>
        <v>0.08427294037147522</v>
      </c>
    </row>
    <row r="19" spans="2:14" ht="24">
      <c r="B19" s="9">
        <v>14</v>
      </c>
      <c r="C19" s="7" t="s">
        <v>41</v>
      </c>
      <c r="D19" s="7" t="s">
        <v>36</v>
      </c>
      <c r="E19" s="11">
        <v>34</v>
      </c>
      <c r="F19" s="11">
        <v>1</v>
      </c>
      <c r="G19" s="14">
        <f>85.138648*E19*F19</f>
        <v>2894.7140320000003</v>
      </c>
      <c r="H19" s="14">
        <f>90.481363056*E19*F19</f>
        <v>3076.366343904</v>
      </c>
      <c r="I19" s="14">
        <f t="shared" si="0"/>
        <v>0</v>
      </c>
      <c r="J19" s="14">
        <f>81.051992896*E19*F19</f>
        <v>2755.767758464</v>
      </c>
      <c r="K19" s="14">
        <f>26.95056041496*E19*F19</f>
        <v>916.3190541086401</v>
      </c>
      <c r="L19" s="14">
        <f>17.0277296*E19*F19</f>
        <v>578.9428064</v>
      </c>
      <c r="M19" s="14">
        <f t="shared" si="1"/>
        <v>10222.109994876642</v>
      </c>
      <c r="N19" s="18">
        <f>IF(N4&gt;0,(M19/$N$4/12),0)</f>
        <v>0.04476313712943003</v>
      </c>
    </row>
    <row r="20" spans="2:14" ht="12">
      <c r="B20" s="9">
        <v>15</v>
      </c>
      <c r="C20" s="7" t="s">
        <v>42</v>
      </c>
      <c r="D20" s="7" t="s">
        <v>36</v>
      </c>
      <c r="E20" s="11">
        <v>17</v>
      </c>
      <c r="F20" s="11">
        <v>1</v>
      </c>
      <c r="G20" s="14">
        <f>541.239168*E20*F20</f>
        <v>9201.065856</v>
      </c>
      <c r="H20" s="14">
        <f>3766.4388468*E20*F20</f>
        <v>64029.46039560001</v>
      </c>
      <c r="I20" s="14">
        <f t="shared" si="0"/>
        <v>0</v>
      </c>
      <c r="J20" s="14">
        <f>515.259687936*E20*F20</f>
        <v>8759.414694912</v>
      </c>
      <c r="K20" s="14">
        <f>506.40845878728*E20*F20</f>
        <v>8608.94379938376</v>
      </c>
      <c r="L20" s="14">
        <f>108.2478336*E20*F20</f>
        <v>1840.2131712</v>
      </c>
      <c r="M20" s="14">
        <f t="shared" si="1"/>
        <v>92439.09791709577</v>
      </c>
      <c r="N20" s="18">
        <f>IF(N4&gt;0,(M20/$N$4/12),0)</f>
        <v>0.4047954892148177</v>
      </c>
    </row>
    <row r="21" spans="2:14" ht="24">
      <c r="B21" s="9">
        <v>16</v>
      </c>
      <c r="C21" s="7" t="s">
        <v>43</v>
      </c>
      <c r="D21" s="7" t="s">
        <v>44</v>
      </c>
      <c r="E21" s="11">
        <v>2.8</v>
      </c>
      <c r="F21" s="11">
        <v>2</v>
      </c>
      <c r="G21" s="14">
        <f>61.567116*E21*F21</f>
        <v>344.77584959999996</v>
      </c>
      <c r="H21" s="14">
        <f aca="true" t="shared" si="2" ref="H21:H33">0*E21*F21</f>
        <v>0</v>
      </c>
      <c r="I21" s="14">
        <f t="shared" si="0"/>
        <v>0</v>
      </c>
      <c r="J21" s="14">
        <f>58.611894432*E21*F21</f>
        <v>328.22660881919995</v>
      </c>
      <c r="K21" s="14">
        <f>12.61879609536*E21*F21</f>
        <v>70.665258134016</v>
      </c>
      <c r="L21" s="14">
        <f>12.3134232*E21*F21</f>
        <v>68.95516992</v>
      </c>
      <c r="M21" s="14">
        <f t="shared" si="1"/>
        <v>812.6228864732159</v>
      </c>
      <c r="N21" s="18">
        <f>IF(N4&gt;0,(M21/$N$4/12),0)</f>
        <v>0.0035585167563199154</v>
      </c>
    </row>
    <row r="22" spans="2:14" ht="24">
      <c r="B22" s="9">
        <v>17</v>
      </c>
      <c r="C22" s="7" t="s">
        <v>45</v>
      </c>
      <c r="D22" s="7" t="s">
        <v>44</v>
      </c>
      <c r="E22" s="11">
        <v>1.6</v>
      </c>
      <c r="F22" s="11">
        <v>2</v>
      </c>
      <c r="G22" s="14">
        <f>490.958284*E22*F22</f>
        <v>1571.0665088</v>
      </c>
      <c r="H22" s="14">
        <f t="shared" si="2"/>
        <v>0</v>
      </c>
      <c r="I22" s="14">
        <f t="shared" si="0"/>
        <v>0</v>
      </c>
      <c r="J22" s="14">
        <f>467.392286368*E22*F22</f>
        <v>1495.6553163776</v>
      </c>
      <c r="K22" s="14">
        <f>100.62680988864*E22*F22</f>
        <v>322.005791643648</v>
      </c>
      <c r="L22" s="14">
        <f>98.1916568*E22*F22</f>
        <v>314.21330176000004</v>
      </c>
      <c r="M22" s="14">
        <f t="shared" si="1"/>
        <v>3702.9409185812483</v>
      </c>
      <c r="N22" s="18">
        <f>IF(N4&gt;0,(M22/$N$4/12),0)</f>
        <v>0.016215365732095147</v>
      </c>
    </row>
    <row r="23" spans="2:14" ht="12">
      <c r="B23" s="9">
        <v>18</v>
      </c>
      <c r="C23" s="7" t="s">
        <v>46</v>
      </c>
      <c r="D23" s="7" t="s">
        <v>47</v>
      </c>
      <c r="E23" s="11">
        <v>0.8</v>
      </c>
      <c r="F23" s="11">
        <v>2</v>
      </c>
      <c r="G23" s="14">
        <f>243.913704*E23*F23</f>
        <v>390.2619264</v>
      </c>
      <c r="H23" s="14">
        <f t="shared" si="2"/>
        <v>0</v>
      </c>
      <c r="I23" s="14">
        <f t="shared" si="0"/>
        <v>0</v>
      </c>
      <c r="J23" s="14">
        <f>232.205846208*E23*F23</f>
        <v>371.5293539328</v>
      </c>
      <c r="K23" s="14">
        <f>49.99255277184*E23*F23</f>
        <v>79.98808443494401</v>
      </c>
      <c r="L23" s="14">
        <f>48.7827408*E23*F23</f>
        <v>78.05238528000001</v>
      </c>
      <c r="M23" s="14">
        <f t="shared" si="1"/>
        <v>919.831750047744</v>
      </c>
      <c r="N23" s="18">
        <f>IF(N4&gt;0,(M23/$N$4/12),0)</f>
        <v>0.0040279897970211245</v>
      </c>
    </row>
    <row r="24" spans="2:14" ht="24">
      <c r="B24" s="9">
        <v>19</v>
      </c>
      <c r="C24" s="7" t="s">
        <v>48</v>
      </c>
      <c r="D24" s="7" t="s">
        <v>44</v>
      </c>
      <c r="E24" s="11">
        <v>1.2</v>
      </c>
      <c r="F24" s="11">
        <v>2</v>
      </c>
      <c r="G24" s="14">
        <f>712.1568*E24*F24</f>
        <v>1709.1763199999998</v>
      </c>
      <c r="H24" s="14">
        <f t="shared" si="2"/>
        <v>0</v>
      </c>
      <c r="I24" s="14">
        <f t="shared" si="0"/>
        <v>0</v>
      </c>
      <c r="J24" s="14">
        <f>677.9732736*E24*F24</f>
        <v>1627.13585664</v>
      </c>
      <c r="K24" s="14">
        <f>145.963657728*E24*F24</f>
        <v>350.31277854719997</v>
      </c>
      <c r="L24" s="14">
        <f>142.43136*E24*F24</f>
        <v>341.835264</v>
      </c>
      <c r="M24" s="14">
        <f t="shared" si="1"/>
        <v>4028.4602191871995</v>
      </c>
      <c r="N24" s="18">
        <f>IF(N4&gt;0,(M24/$N$4/12),0)</f>
        <v>0.01764083122782974</v>
      </c>
    </row>
    <row r="25" spans="2:14" ht="24">
      <c r="B25" s="9">
        <v>20</v>
      </c>
      <c r="C25" s="7" t="s">
        <v>49</v>
      </c>
      <c r="D25" s="7" t="s">
        <v>44</v>
      </c>
      <c r="E25" s="11">
        <v>0.8</v>
      </c>
      <c r="F25" s="11">
        <v>2</v>
      </c>
      <c r="G25" s="14">
        <f>534.1176*E25*F25</f>
        <v>854.5881600000001</v>
      </c>
      <c r="H25" s="14">
        <f t="shared" si="2"/>
        <v>0</v>
      </c>
      <c r="I25" s="14">
        <f t="shared" si="0"/>
        <v>0</v>
      </c>
      <c r="J25" s="14">
        <f>508.4799552*E25*F25</f>
        <v>813.5679283200001</v>
      </c>
      <c r="K25" s="14">
        <f>109.472743296*E25*F25</f>
        <v>175.1563892736</v>
      </c>
      <c r="L25" s="14">
        <f>106.82352*E25*F25</f>
        <v>170.91763200000003</v>
      </c>
      <c r="M25" s="14">
        <f t="shared" si="1"/>
        <v>2014.2301095936004</v>
      </c>
      <c r="N25" s="18">
        <f>IF(N4&gt;0,(M25/$N$4/12),0)</f>
        <v>0.008820415613914874</v>
      </c>
    </row>
    <row r="26" spans="2:14" ht="12">
      <c r="B26" s="9">
        <v>21</v>
      </c>
      <c r="C26" s="7" t="s">
        <v>50</v>
      </c>
      <c r="D26" s="7" t="s">
        <v>51</v>
      </c>
      <c r="E26" s="11">
        <v>2.2</v>
      </c>
      <c r="F26" s="11">
        <v>2</v>
      </c>
      <c r="G26" s="14">
        <f>498.50976*E26*F26</f>
        <v>2193.4429440000004</v>
      </c>
      <c r="H26" s="14">
        <f t="shared" si="2"/>
        <v>0</v>
      </c>
      <c r="I26" s="14">
        <f t="shared" si="0"/>
        <v>0</v>
      </c>
      <c r="J26" s="14">
        <f>474.58129152*E26*F26</f>
        <v>2088.157682688</v>
      </c>
      <c r="K26" s="14">
        <f>102.1745604096*E26*F26</f>
        <v>449.5680658022401</v>
      </c>
      <c r="L26" s="14">
        <f>99.701952*E26*F26</f>
        <v>438.68858880000005</v>
      </c>
      <c r="M26" s="14">
        <f t="shared" si="1"/>
        <v>5169.85728129024</v>
      </c>
      <c r="N26" s="18">
        <f>IF(N4&gt;0,(M26/$N$4/12),0)</f>
        <v>0.022639066742381503</v>
      </c>
    </row>
    <row r="27" spans="2:14" ht="24">
      <c r="B27" s="9">
        <v>22</v>
      </c>
      <c r="C27" s="7" t="s">
        <v>52</v>
      </c>
      <c r="D27" s="7" t="s">
        <v>53</v>
      </c>
      <c r="E27" s="11">
        <v>0.22</v>
      </c>
      <c r="F27" s="11">
        <v>1</v>
      </c>
      <c r="G27" s="14">
        <f>10682.352*E27*F27</f>
        <v>2350.11744</v>
      </c>
      <c r="H27" s="14">
        <f t="shared" si="2"/>
        <v>0</v>
      </c>
      <c r="I27" s="14">
        <f t="shared" si="0"/>
        <v>0</v>
      </c>
      <c r="J27" s="14">
        <f>10169.599104*E27*F27</f>
        <v>2237.3118028800004</v>
      </c>
      <c r="K27" s="14">
        <f>2189.45486592*E27*F27</f>
        <v>481.6800705024</v>
      </c>
      <c r="L27" s="14">
        <f>2136.4704*E27*F27</f>
        <v>470.02348800000004</v>
      </c>
      <c r="M27" s="14">
        <f t="shared" si="1"/>
        <v>5539.1328013823995</v>
      </c>
      <c r="N27" s="18">
        <f>IF(N4&gt;0,(M27/$N$4/12),0)</f>
        <v>0.024256142938265893</v>
      </c>
    </row>
    <row r="28" spans="2:14" ht="24">
      <c r="B28" s="9">
        <v>23</v>
      </c>
      <c r="C28" s="7" t="s">
        <v>54</v>
      </c>
      <c r="D28" s="7" t="s">
        <v>44</v>
      </c>
      <c r="E28" s="11">
        <v>22.58</v>
      </c>
      <c r="F28" s="11">
        <v>2</v>
      </c>
      <c r="G28" s="14">
        <f>663.03048*E28*F28</f>
        <v>29942.4564768</v>
      </c>
      <c r="H28" s="14">
        <f t="shared" si="2"/>
        <v>0</v>
      </c>
      <c r="I28" s="14">
        <f t="shared" si="0"/>
        <v>0</v>
      </c>
      <c r="J28" s="14">
        <f>631.20501696*E28*F28</f>
        <v>28505.218565913598</v>
      </c>
      <c r="K28" s="14">
        <f>135.8947271808*E28*F28</f>
        <v>6137.005879484927</v>
      </c>
      <c r="L28" s="14">
        <f>132.606096*E28*F28</f>
        <v>5988.49129536</v>
      </c>
      <c r="M28" s="14">
        <f t="shared" si="1"/>
        <v>70573.17221755852</v>
      </c>
      <c r="N28" s="18">
        <f>IF(N4&gt;0,(M28/$N$4/12),0)</f>
        <v>0.3090434936834757</v>
      </c>
    </row>
    <row r="29" spans="2:14" ht="24">
      <c r="B29" s="9">
        <v>24</v>
      </c>
      <c r="C29" s="7" t="s">
        <v>55</v>
      </c>
      <c r="D29" s="7" t="s">
        <v>56</v>
      </c>
      <c r="E29" s="11">
        <v>0.46</v>
      </c>
      <c r="F29" s="11">
        <v>2</v>
      </c>
      <c r="G29" s="14">
        <f>1602.3528*E29*F29</f>
        <v>1474.164576</v>
      </c>
      <c r="H29" s="14">
        <f t="shared" si="2"/>
        <v>0</v>
      </c>
      <c r="I29" s="14">
        <f t="shared" si="0"/>
        <v>0</v>
      </c>
      <c r="J29" s="14">
        <f>1525.4398656*E29*F29</f>
        <v>1403.404676352</v>
      </c>
      <c r="K29" s="14">
        <f>328.418229888*E29*F29</f>
        <v>302.14477149696</v>
      </c>
      <c r="L29" s="14">
        <f>320.47056*E29*F29</f>
        <v>294.8329152</v>
      </c>
      <c r="M29" s="14">
        <f t="shared" si="1"/>
        <v>3474.54693904896</v>
      </c>
      <c r="N29" s="18">
        <f>IF(N4&gt;0,(M29/$N$4/12),0)</f>
        <v>0.015215216934003154</v>
      </c>
    </row>
    <row r="30" spans="2:14" ht="12">
      <c r="B30" s="9">
        <v>25</v>
      </c>
      <c r="C30" s="7" t="s">
        <v>57</v>
      </c>
      <c r="D30" s="7" t="s">
        <v>58</v>
      </c>
      <c r="E30" s="11">
        <v>2</v>
      </c>
      <c r="F30" s="11">
        <v>2</v>
      </c>
      <c r="G30" s="14">
        <f>89.0196*E30*F30</f>
        <v>356.0784</v>
      </c>
      <c r="H30" s="14">
        <f t="shared" si="2"/>
        <v>0</v>
      </c>
      <c r="I30" s="14">
        <f t="shared" si="0"/>
        <v>0</v>
      </c>
      <c r="J30" s="14">
        <f>84.7466592*E30*F30</f>
        <v>338.9866368</v>
      </c>
      <c r="K30" s="14">
        <f>18.245457216*E30*F30</f>
        <v>72.981828864</v>
      </c>
      <c r="L30" s="14">
        <f>17.80392*E30*F30</f>
        <v>71.21568</v>
      </c>
      <c r="M30" s="14">
        <f t="shared" si="1"/>
        <v>839.262545664</v>
      </c>
      <c r="N30" s="18">
        <f>IF(N4&gt;0,(M30/$N$4/12),0)</f>
        <v>0.0036751731724645295</v>
      </c>
    </row>
    <row r="31" spans="2:14" ht="24">
      <c r="B31" s="9">
        <v>26</v>
      </c>
      <c r="C31" s="7" t="s">
        <v>59</v>
      </c>
      <c r="D31" s="7" t="s">
        <v>44</v>
      </c>
      <c r="E31" s="11">
        <v>0.8</v>
      </c>
      <c r="F31" s="11">
        <v>1</v>
      </c>
      <c r="G31" s="14">
        <f>1780.392*E31*F31</f>
        <v>1424.3136000000002</v>
      </c>
      <c r="H31" s="14">
        <f t="shared" si="2"/>
        <v>0</v>
      </c>
      <c r="I31" s="14">
        <f t="shared" si="0"/>
        <v>0</v>
      </c>
      <c r="J31" s="14">
        <f>1694.933184*E31*F31</f>
        <v>1355.9465472000002</v>
      </c>
      <c r="K31" s="14">
        <f>364.90914432*E31*F31</f>
        <v>291.92731545600003</v>
      </c>
      <c r="L31" s="14">
        <f>356.0784*E31*F31</f>
        <v>284.86272</v>
      </c>
      <c r="M31" s="14">
        <f t="shared" si="1"/>
        <v>3357.0501826560007</v>
      </c>
      <c r="N31" s="18">
        <f>IF(N4&gt;0,(M31/$N$4/12),0)</f>
        <v>0.014700692689858122</v>
      </c>
    </row>
    <row r="32" spans="2:14" ht="36">
      <c r="B32" s="9">
        <v>27</v>
      </c>
      <c r="C32" s="7" t="s">
        <v>60</v>
      </c>
      <c r="D32" s="7" t="s">
        <v>61</v>
      </c>
      <c r="E32" s="11">
        <v>1.2</v>
      </c>
      <c r="F32" s="11">
        <v>2</v>
      </c>
      <c r="G32" s="14">
        <f>712.1568*E32*F32</f>
        <v>1709.1763199999998</v>
      </c>
      <c r="H32" s="14">
        <f t="shared" si="2"/>
        <v>0</v>
      </c>
      <c r="I32" s="14">
        <f t="shared" si="0"/>
        <v>0</v>
      </c>
      <c r="J32" s="14">
        <f>677.9732736*E32*F32</f>
        <v>1627.13585664</v>
      </c>
      <c r="K32" s="14">
        <f>145.963657728*E32*F32</f>
        <v>350.31277854719997</v>
      </c>
      <c r="L32" s="14">
        <f>142.43136*E32*F32</f>
        <v>341.835264</v>
      </c>
      <c r="M32" s="14">
        <f t="shared" si="1"/>
        <v>4028.4602191871995</v>
      </c>
      <c r="N32" s="18">
        <f>IF(N4&gt;0,(M32/$N$4/12),0)</f>
        <v>0.01764083122782974</v>
      </c>
    </row>
    <row r="33" spans="2:14" ht="84">
      <c r="B33" s="9">
        <v>28</v>
      </c>
      <c r="C33" s="7" t="s">
        <v>62</v>
      </c>
      <c r="D33" s="7" t="s">
        <v>63</v>
      </c>
      <c r="E33" s="11">
        <v>1.2</v>
      </c>
      <c r="F33" s="11">
        <v>12</v>
      </c>
      <c r="G33" s="14">
        <f>1463.937552*E33*F33</f>
        <v>21080.7007488</v>
      </c>
      <c r="H33" s="14">
        <f t="shared" si="2"/>
        <v>0</v>
      </c>
      <c r="I33" s="14">
        <f t="shared" si="0"/>
        <v>0</v>
      </c>
      <c r="J33" s="14">
        <f>1393.668549504*E33*F33</f>
        <v>20068.8271128576</v>
      </c>
      <c r="K33" s="14">
        <f>300.04864065792*E33*F33</f>
        <v>4320.700425474048</v>
      </c>
      <c r="L33" s="14">
        <f>292.7875104*E33*F33</f>
        <v>4216.14014976</v>
      </c>
      <c r="M33" s="14">
        <f t="shared" si="1"/>
        <v>49686.36843689165</v>
      </c>
      <c r="N33" s="18">
        <f>IF(N4&gt;0,(M33/$N$4/12),0)</f>
        <v>0.2175791225998058</v>
      </c>
    </row>
    <row r="34" spans="2:14" ht="19.5" customHeight="1">
      <c r="B34" s="43" t="s">
        <v>64</v>
      </c>
      <c r="C34" s="44"/>
      <c r="D34" s="44"/>
      <c r="E34" s="44"/>
      <c r="F34" s="44"/>
      <c r="G34" s="15">
        <f aca="true" t="shared" si="3" ref="G34:N34">SUM(G6:G33)</f>
        <v>98847.20757426517</v>
      </c>
      <c r="H34" s="15">
        <f t="shared" si="3"/>
        <v>118959.54364820737</v>
      </c>
      <c r="I34" s="15">
        <f t="shared" si="3"/>
        <v>0</v>
      </c>
      <c r="J34" s="15">
        <f t="shared" si="3"/>
        <v>94102.54161070044</v>
      </c>
      <c r="K34" s="15">
        <f t="shared" si="3"/>
        <v>32750.475747483215</v>
      </c>
      <c r="L34" s="15">
        <f t="shared" si="3"/>
        <v>19769.44151485303</v>
      </c>
      <c r="M34" s="15">
        <f t="shared" si="3"/>
        <v>364429.21009550913</v>
      </c>
      <c r="N34" s="19">
        <f t="shared" si="3"/>
        <v>1.5958539590800018</v>
      </c>
    </row>
    <row r="35" spans="2:14" ht="21.75" customHeight="1">
      <c r="B35" s="39" t="s">
        <v>65</v>
      </c>
      <c r="C35" s="40"/>
      <c r="D35" s="40"/>
      <c r="E35" s="40"/>
      <c r="F35" s="40"/>
      <c r="G35" s="41"/>
      <c r="H35" s="41"/>
      <c r="I35" s="41"/>
      <c r="J35" s="41"/>
      <c r="K35" s="41"/>
      <c r="L35" s="41"/>
      <c r="M35" s="41"/>
      <c r="N35" s="42"/>
    </row>
    <row r="36" spans="2:14" ht="36">
      <c r="B36" s="8">
        <v>29</v>
      </c>
      <c r="C36" s="6" t="s">
        <v>66</v>
      </c>
      <c r="D36" s="6" t="s">
        <v>67</v>
      </c>
      <c r="E36" s="10">
        <v>5.9</v>
      </c>
      <c r="F36" s="10">
        <v>208</v>
      </c>
      <c r="G36" s="13">
        <f>170.7714918*E36*F36</f>
        <v>209570.77473696</v>
      </c>
      <c r="H36" s="13">
        <f>0.8533224*E36*F36</f>
        <v>1047.19724928</v>
      </c>
      <c r="I36" s="13">
        <f aca="true" t="shared" si="4" ref="I36:I55">0*E36*F36</f>
        <v>0</v>
      </c>
      <c r="J36" s="13">
        <f>162.5744601936*E36*F36</f>
        <v>199511.37754958594</v>
      </c>
      <c r="K36" s="13">
        <f>35.090923811328*E36*F36</f>
        <v>43063.581701261726</v>
      </c>
      <c r="L36" s="13">
        <f>34.15429836*E36*F36</f>
        <v>41914.154947392</v>
      </c>
      <c r="M36" s="13">
        <f aca="true" t="shared" si="5" ref="M36:M75">SUM(G36:L36)</f>
        <v>495107.0861844797</v>
      </c>
      <c r="N36" s="17">
        <f>IF(N4&gt;0,(M36/$N$4/12),0)</f>
        <v>2.1680989936262027</v>
      </c>
    </row>
    <row r="37" spans="2:14" ht="36">
      <c r="B37" s="9">
        <v>30</v>
      </c>
      <c r="C37" s="7" t="s">
        <v>68</v>
      </c>
      <c r="D37" s="7" t="s">
        <v>69</v>
      </c>
      <c r="E37" s="11">
        <v>25.3</v>
      </c>
      <c r="F37" s="11">
        <v>104</v>
      </c>
      <c r="G37" s="14">
        <f>149.1183018*E37*F37</f>
        <v>392360.07569616</v>
      </c>
      <c r="H37" s="14">
        <f>0.72952992*E37*F37</f>
        <v>1919.5391255040001</v>
      </c>
      <c r="I37" s="14">
        <f t="shared" si="4"/>
        <v>0</v>
      </c>
      <c r="J37" s="14">
        <f>141.9606233136*E37*F37</f>
        <v>373526.7920627443</v>
      </c>
      <c r="K37" s="14">
        <f>30.639887778528*E37*F37</f>
        <v>80619.67272286287</v>
      </c>
      <c r="L37" s="14">
        <f>29.82366036*E37*F37</f>
        <v>78472.01513923201</v>
      </c>
      <c r="M37" s="14">
        <f t="shared" si="5"/>
        <v>926898.0947465033</v>
      </c>
      <c r="N37" s="18">
        <f>IF(N4&gt;0,(M37/$N$4/12),0)</f>
        <v>4.058933678168257</v>
      </c>
    </row>
    <row r="38" spans="2:14" ht="24">
      <c r="B38" s="9">
        <v>31</v>
      </c>
      <c r="C38" s="7" t="s">
        <v>70</v>
      </c>
      <c r="D38" s="7" t="s">
        <v>71</v>
      </c>
      <c r="E38" s="11">
        <v>0.08</v>
      </c>
      <c r="F38" s="11">
        <v>208</v>
      </c>
      <c r="G38" s="14">
        <f>144.3546*E38*F38</f>
        <v>2402.060544</v>
      </c>
      <c r="H38" s="14">
        <f>0.728532*E38*F38</f>
        <v>12.12277248</v>
      </c>
      <c r="I38" s="14">
        <f t="shared" si="4"/>
        <v>0</v>
      </c>
      <c r="J38" s="14">
        <f>137.4255792*E38*F38</f>
        <v>2286.7616378879998</v>
      </c>
      <c r="K38" s="14">
        <f>29.663414676*E38*F38</f>
        <v>493.59922020863996</v>
      </c>
      <c r="L38" s="14">
        <f>28.87092*E38*F38</f>
        <v>480.4121088</v>
      </c>
      <c r="M38" s="14">
        <f t="shared" si="5"/>
        <v>5674.95628337664</v>
      </c>
      <c r="N38" s="18">
        <f>IF(N4&gt;0,(M38/$N$4/12),0)</f>
        <v>0.024850920841551234</v>
      </c>
    </row>
    <row r="39" spans="2:14" ht="24">
      <c r="B39" s="9">
        <v>32</v>
      </c>
      <c r="C39" s="7" t="s">
        <v>72</v>
      </c>
      <c r="D39" s="7" t="s">
        <v>67</v>
      </c>
      <c r="E39" s="11">
        <v>5.9</v>
      </c>
      <c r="F39" s="11">
        <v>52</v>
      </c>
      <c r="G39" s="14">
        <f>218.9859282*E39*F39</f>
        <v>67184.88277175999</v>
      </c>
      <c r="H39" s="14">
        <f>115.6430268*E39*F39</f>
        <v>35479.28062224</v>
      </c>
      <c r="I39" s="14">
        <f t="shared" si="4"/>
        <v>0</v>
      </c>
      <c r="J39" s="14">
        <f>208.4746036464*E39*F39</f>
        <v>63960.00839871552</v>
      </c>
      <c r="K39" s="14">
        <f>57.025873657872*E39*F39</f>
        <v>17495.53803823513</v>
      </c>
      <c r="L39" s="14">
        <f>43.79718564*E39*F39</f>
        <v>13436.976554352</v>
      </c>
      <c r="M39" s="14">
        <f t="shared" si="5"/>
        <v>197556.68638530266</v>
      </c>
      <c r="N39" s="18">
        <f>IF(N4&gt;0,(M39/$N$4/12),0)</f>
        <v>0.8651107303612834</v>
      </c>
    </row>
    <row r="40" spans="2:14" ht="24">
      <c r="B40" s="9">
        <v>33</v>
      </c>
      <c r="C40" s="7" t="s">
        <v>73</v>
      </c>
      <c r="D40" s="7" t="s">
        <v>67</v>
      </c>
      <c r="E40" s="11">
        <v>25.3</v>
      </c>
      <c r="F40" s="11">
        <v>52</v>
      </c>
      <c r="G40" s="14">
        <f>187.66098*E40*F40</f>
        <v>246886.78528799998</v>
      </c>
      <c r="H40" s="14">
        <f>113.794254*E40*F40</f>
        <v>149707.7205624</v>
      </c>
      <c r="I40" s="14">
        <f t="shared" si="4"/>
        <v>0</v>
      </c>
      <c r="J40" s="14">
        <f>178.65325296*E40*F40</f>
        <v>235036.21959417604</v>
      </c>
      <c r="K40" s="14">
        <f>50.4113911308*E40*F40</f>
        <v>66321.22617168048</v>
      </c>
      <c r="L40" s="14">
        <f>37.532196*E40*F40</f>
        <v>49377.3570576</v>
      </c>
      <c r="M40" s="14">
        <f t="shared" si="5"/>
        <v>747329.3086738565</v>
      </c>
      <c r="N40" s="18">
        <f>IF(N4&gt;0,(M40/$N$4/12),0)</f>
        <v>3.2725928738564396</v>
      </c>
    </row>
    <row r="41" spans="2:14" ht="12">
      <c r="B41" s="9">
        <v>34</v>
      </c>
      <c r="C41" s="7" t="s">
        <v>74</v>
      </c>
      <c r="D41" s="7" t="s">
        <v>71</v>
      </c>
      <c r="E41" s="11">
        <v>0.08</v>
      </c>
      <c r="F41" s="11">
        <v>104</v>
      </c>
      <c r="G41" s="14">
        <f>255.0745782*E41*F41</f>
        <v>2122.220490624</v>
      </c>
      <c r="H41" s="14">
        <f>149.535603*E41*F41</f>
        <v>1244.1362169600002</v>
      </c>
      <c r="I41" s="14">
        <f t="shared" si="4"/>
        <v>0</v>
      </c>
      <c r="J41" s="14">
        <f>242.8309984464*E41*F41</f>
        <v>2020.353907074048</v>
      </c>
      <c r="K41" s="14">
        <f>67.981323862872*E41*F41</f>
        <v>565.604614539095</v>
      </c>
      <c r="L41" s="14">
        <f>51.01491564*E41*F41</f>
        <v>424.4440981248</v>
      </c>
      <c r="M41" s="14">
        <f t="shared" si="5"/>
        <v>6376.759327321943</v>
      </c>
      <c r="N41" s="18">
        <f>IF(N4&gt;0,(M41/$N$4/12),0)</f>
        <v>0.02792415189753872</v>
      </c>
    </row>
    <row r="42" spans="2:14" ht="24">
      <c r="B42" s="9">
        <v>35</v>
      </c>
      <c r="C42" s="7" t="s">
        <v>75</v>
      </c>
      <c r="D42" s="7" t="s">
        <v>34</v>
      </c>
      <c r="E42" s="11">
        <v>1.45</v>
      </c>
      <c r="F42" s="11">
        <v>2</v>
      </c>
      <c r="G42" s="14">
        <f>129.91914*E42*F42</f>
        <v>376.76550599999996</v>
      </c>
      <c r="H42" s="14">
        <f>3.7655193744*E42*F42</f>
        <v>10.92000618576</v>
      </c>
      <c r="I42" s="14">
        <f t="shared" si="4"/>
        <v>0</v>
      </c>
      <c r="J42" s="14">
        <f>123.68302128*E42*F42</f>
        <v>358.680761712</v>
      </c>
      <c r="K42" s="14">
        <f>27.023606468712*E42*F42</f>
        <v>78.3684587592648</v>
      </c>
      <c r="L42" s="14">
        <f>25.983828*E42*F42</f>
        <v>75.3531012</v>
      </c>
      <c r="M42" s="14">
        <f t="shared" si="5"/>
        <v>900.0878338570247</v>
      </c>
      <c r="N42" s="18">
        <f>IF(N4&gt;0,(M42/$N$4/12),0)</f>
        <v>0.003941530188548891</v>
      </c>
    </row>
    <row r="43" spans="2:14" ht="24">
      <c r="B43" s="9">
        <v>36</v>
      </c>
      <c r="C43" s="7" t="s">
        <v>76</v>
      </c>
      <c r="D43" s="7" t="s">
        <v>77</v>
      </c>
      <c r="E43" s="11">
        <v>1.36</v>
      </c>
      <c r="F43" s="11">
        <v>2</v>
      </c>
      <c r="G43" s="14">
        <f>327.20376048118*E43*F43</f>
        <v>889.9942285088097</v>
      </c>
      <c r="H43" s="14">
        <f>47.20904231652*E43*F43</f>
        <v>128.4085951009344</v>
      </c>
      <c r="I43" s="14">
        <f t="shared" si="4"/>
        <v>0</v>
      </c>
      <c r="J43" s="14">
        <f>311.49797997809*E43*F43</f>
        <v>847.2745055404048</v>
      </c>
      <c r="K43" s="14">
        <f>72.020632191458*E43*F43</f>
        <v>195.89611956076578</v>
      </c>
      <c r="L43" s="14">
        <f>65.440752096236*E43*F43</f>
        <v>177.99884570176192</v>
      </c>
      <c r="M43" s="14">
        <f t="shared" si="5"/>
        <v>2239.572294412677</v>
      </c>
      <c r="N43" s="18">
        <f>IF(N4&gt;0,(M43/$N$4/12),0)</f>
        <v>0.009807200448470296</v>
      </c>
    </row>
    <row r="44" spans="2:14" ht="24">
      <c r="B44" s="9">
        <v>37</v>
      </c>
      <c r="C44" s="7" t="s">
        <v>78</v>
      </c>
      <c r="D44" s="7" t="s">
        <v>79</v>
      </c>
      <c r="E44" s="11">
        <v>28.72</v>
      </c>
      <c r="F44" s="11">
        <v>2</v>
      </c>
      <c r="G44" s="14">
        <f>55.335929518818*E44*F44</f>
        <v>3178.4957915609057</v>
      </c>
      <c r="H44" s="14">
        <f>0.295555995*E44*F44</f>
        <v>16.9767363528</v>
      </c>
      <c r="I44" s="14">
        <f t="shared" si="4"/>
        <v>0</v>
      </c>
      <c r="J44" s="14">
        <f>52.679804901915*E44*F44</f>
        <v>3025.9279935659974</v>
      </c>
      <c r="K44" s="14">
        <f>11.372685493652*E44*F44</f>
        <v>653.2470547553709</v>
      </c>
      <c r="L44" s="14">
        <f>11.067185903764*E44*F44</f>
        <v>635.6991583122042</v>
      </c>
      <c r="M44" s="14">
        <f t="shared" si="5"/>
        <v>7510.346734547279</v>
      </c>
      <c r="N44" s="18">
        <f>IF(N4&gt;0,(M44/$N$4/12),0)</f>
        <v>0.03288818853804203</v>
      </c>
    </row>
    <row r="45" spans="2:14" ht="36">
      <c r="B45" s="9">
        <v>38</v>
      </c>
      <c r="C45" s="7" t="s">
        <v>80</v>
      </c>
      <c r="D45" s="7" t="s">
        <v>81</v>
      </c>
      <c r="E45" s="11">
        <v>0.24</v>
      </c>
      <c r="F45" s="11">
        <v>2</v>
      </c>
      <c r="G45" s="14">
        <f>2855.0297664*E45*F45</f>
        <v>1370.414287872</v>
      </c>
      <c r="H45" s="14">
        <f>4.89235852476*E45*F45</f>
        <v>2.3483320918848</v>
      </c>
      <c r="I45" s="14">
        <f t="shared" si="4"/>
        <v>0</v>
      </c>
      <c r="J45" s="14">
        <f>2717.9883376128*E45*F45</f>
        <v>1304.634402054144</v>
      </c>
      <c r="K45" s="14">
        <f>585.68059856644*E45*F45</f>
        <v>281.1266873118912</v>
      </c>
      <c r="L45" s="14">
        <f>571.00595328*E45*F45</f>
        <v>274.08285757439995</v>
      </c>
      <c r="M45" s="14">
        <f t="shared" si="5"/>
        <v>3232.60656690432</v>
      </c>
      <c r="N45" s="18">
        <f>IF(N4&gt;0,(M45/$N$4/12),0)</f>
        <v>0.01415574779691855</v>
      </c>
    </row>
    <row r="46" spans="2:14" ht="24">
      <c r="B46" s="9">
        <v>39</v>
      </c>
      <c r="C46" s="7" t="s">
        <v>82</v>
      </c>
      <c r="D46" s="7" t="s">
        <v>83</v>
      </c>
      <c r="E46" s="11">
        <v>0.39</v>
      </c>
      <c r="F46" s="11">
        <v>12</v>
      </c>
      <c r="G46" s="14">
        <f>154.459422*E46*F46</f>
        <v>722.87009496</v>
      </c>
      <c r="H46" s="14">
        <f>89.56773*E46*F46</f>
        <v>419.17697639999994</v>
      </c>
      <c r="I46" s="14">
        <f t="shared" si="4"/>
        <v>0</v>
      </c>
      <c r="J46" s="14">
        <f>147.045369744*E46*F46</f>
        <v>688.17233040192</v>
      </c>
      <c r="K46" s="14">
        <f>41.06261478312*E46*F46</f>
        <v>192.1730371850016</v>
      </c>
      <c r="L46" s="14">
        <f>30.8918844*E46*F46</f>
        <v>144.574018992</v>
      </c>
      <c r="M46" s="14">
        <f t="shared" si="5"/>
        <v>2166.966457938922</v>
      </c>
      <c r="N46" s="18">
        <f>IF(N4&gt;0,(M46/$N$4/12),0)</f>
        <v>0.009489255815111761</v>
      </c>
    </row>
    <row r="47" spans="2:14" ht="60">
      <c r="B47" s="9">
        <v>40</v>
      </c>
      <c r="C47" s="7" t="s">
        <v>84</v>
      </c>
      <c r="D47" s="7" t="s">
        <v>85</v>
      </c>
      <c r="E47" s="11">
        <v>0.58</v>
      </c>
      <c r="F47" s="11">
        <v>12</v>
      </c>
      <c r="G47" s="14">
        <f>194.87871*E47*F47</f>
        <v>1356.3558216</v>
      </c>
      <c r="H47" s="14">
        <f>89.56773*E47*F47</f>
        <v>623.3914007999999</v>
      </c>
      <c r="I47" s="14">
        <f t="shared" si="4"/>
        <v>0</v>
      </c>
      <c r="J47" s="14">
        <f>185.52453192*E47*F47</f>
        <v>1291.2507421632</v>
      </c>
      <c r="K47" s="14">
        <f>49.3469520516*E47*F47</f>
        <v>343.454786279136</v>
      </c>
      <c r="L47" s="14">
        <f>38.975742*E47*F47</f>
        <v>271.2711643199999</v>
      </c>
      <c r="M47" s="14">
        <f t="shared" si="5"/>
        <v>3885.7239151623357</v>
      </c>
      <c r="N47" s="18">
        <f>IF(N4&gt;0,(M47/$N$4/12),0)</f>
        <v>0.01701578172693263</v>
      </c>
    </row>
    <row r="48" spans="2:14" ht="24">
      <c r="B48" s="9">
        <v>41</v>
      </c>
      <c r="C48" s="7" t="s">
        <v>86</v>
      </c>
      <c r="D48" s="7" t="s">
        <v>87</v>
      </c>
      <c r="E48" s="11">
        <v>0.28</v>
      </c>
      <c r="F48" s="11">
        <v>12</v>
      </c>
      <c r="G48" s="14">
        <f>262.725372*E48*F48</f>
        <v>882.75724992</v>
      </c>
      <c r="H48" s="14">
        <f>89.56773*E48*F48</f>
        <v>300.9475728</v>
      </c>
      <c r="I48" s="14">
        <f t="shared" si="4"/>
        <v>0</v>
      </c>
      <c r="J48" s="14">
        <f>250.114554144*E48*F48</f>
        <v>840.3849019238401</v>
      </c>
      <c r="K48" s="14">
        <f>63.25280389512*E48*F48</f>
        <v>212.52942108760323</v>
      </c>
      <c r="L48" s="14">
        <f>52.5450744*E48*F48</f>
        <v>176.55144998400002</v>
      </c>
      <c r="M48" s="14">
        <f t="shared" si="5"/>
        <v>2413.1705957154436</v>
      </c>
      <c r="N48" s="18">
        <f>IF(N4&gt;0,(M48/$N$4/12),0)</f>
        <v>0.010567396197737973</v>
      </c>
    </row>
    <row r="49" spans="2:14" ht="12">
      <c r="B49" s="9">
        <v>42</v>
      </c>
      <c r="C49" s="7" t="s">
        <v>88</v>
      </c>
      <c r="D49" s="7" t="s">
        <v>89</v>
      </c>
      <c r="E49" s="11">
        <v>9.2</v>
      </c>
      <c r="F49" s="11">
        <v>2</v>
      </c>
      <c r="G49" s="14">
        <f>218.92818636*E49*F49</f>
        <v>4028.278629024</v>
      </c>
      <c r="H49" s="14">
        <f>89.56773*E49*F49</f>
        <v>1648.046232</v>
      </c>
      <c r="I49" s="14">
        <f t="shared" si="4"/>
        <v>0</v>
      </c>
      <c r="J49" s="14">
        <f>208.41963341472*E49*F49</f>
        <v>3834.921254830848</v>
      </c>
      <c r="K49" s="14">
        <f>54.276132726346*E49*F49</f>
        <v>998.6808421647663</v>
      </c>
      <c r="L49" s="14">
        <f>43.785637272*E49*F49</f>
        <v>805.6557258048</v>
      </c>
      <c r="M49" s="14">
        <f t="shared" si="5"/>
        <v>11315.582683824412</v>
      </c>
      <c r="N49" s="18">
        <f>IF(N4&gt;0,(M49/$N$4/12),0)</f>
        <v>0.04955150938791563</v>
      </c>
    </row>
    <row r="50" spans="2:14" ht="36">
      <c r="B50" s="9">
        <v>43</v>
      </c>
      <c r="C50" s="7" t="s">
        <v>90</v>
      </c>
      <c r="D50" s="7" t="s">
        <v>91</v>
      </c>
      <c r="E50" s="11">
        <v>0.38</v>
      </c>
      <c r="F50" s="11">
        <v>12</v>
      </c>
      <c r="G50" s="14">
        <f>411.41061*E50*F50</f>
        <v>1876.0323816</v>
      </c>
      <c r="H50" s="14">
        <f>89.56773*E50*F50</f>
        <v>408.4288488</v>
      </c>
      <c r="I50" s="14">
        <f t="shared" si="4"/>
        <v>0</v>
      </c>
      <c r="J50" s="14">
        <f>391.66290072*E50*F50</f>
        <v>1785.9828272832</v>
      </c>
      <c r="K50" s="14">
        <f>93.7273302756*E50*F50</f>
        <v>427.396626056736</v>
      </c>
      <c r="L50" s="14">
        <f>82.282122*E50*F50</f>
        <v>375.20647632</v>
      </c>
      <c r="M50" s="14">
        <f t="shared" si="5"/>
        <v>4873.047160059936</v>
      </c>
      <c r="N50" s="18">
        <f>IF(N4&gt;0,(M50/$N$4/12),0)</f>
        <v>0.02133932019644393</v>
      </c>
    </row>
    <row r="51" spans="2:14" ht="24">
      <c r="B51" s="9">
        <v>44</v>
      </c>
      <c r="C51" s="7" t="s">
        <v>92</v>
      </c>
      <c r="D51" s="7" t="s">
        <v>93</v>
      </c>
      <c r="E51" s="11">
        <v>0.64</v>
      </c>
      <c r="F51" s="11">
        <v>247</v>
      </c>
      <c r="G51" s="14">
        <f>176.975652*E51*F51</f>
        <v>27976.31106816</v>
      </c>
      <c r="H51" s="14">
        <f>4.2835842*E51*F51</f>
        <v>677.148990336</v>
      </c>
      <c r="I51" s="14">
        <f t="shared" si="4"/>
        <v>0</v>
      </c>
      <c r="J51" s="14">
        <f>168.480820704*E51*F51</f>
        <v>26633.448136888317</v>
      </c>
      <c r="K51" s="14">
        <f>36.72270597492*E51*F51</f>
        <v>5805.125360515352</v>
      </c>
      <c r="L51" s="14">
        <f>35.3951304*E51*F51</f>
        <v>5595.262213632001</v>
      </c>
      <c r="M51" s="14">
        <f t="shared" si="5"/>
        <v>66687.29576953167</v>
      </c>
      <c r="N51" s="18">
        <f>IF(N4&gt;0,(M51/$N$4/12),0)</f>
        <v>0.2920270440074079</v>
      </c>
    </row>
    <row r="52" spans="2:14" ht="24">
      <c r="B52" s="9">
        <v>45</v>
      </c>
      <c r="C52" s="7" t="s">
        <v>94</v>
      </c>
      <c r="D52" s="7" t="s">
        <v>95</v>
      </c>
      <c r="E52" s="11">
        <v>0.013</v>
      </c>
      <c r="F52" s="11">
        <v>52</v>
      </c>
      <c r="G52" s="14">
        <f>8871.403548*E52*F52</f>
        <v>5997.068798448</v>
      </c>
      <c r="H52" s="14">
        <f>16.632*E52*F52</f>
        <v>11.243232</v>
      </c>
      <c r="I52" s="14">
        <f t="shared" si="4"/>
        <v>0</v>
      </c>
      <c r="J52" s="14">
        <f>8445.576177696*E52*F52</f>
        <v>5709.209496122497</v>
      </c>
      <c r="K52" s="14">
        <f>1820.0292311981*E52*F52</f>
        <v>1230.3397602899156</v>
      </c>
      <c r="L52" s="14">
        <f>1774.2807096*E52*F52</f>
        <v>1199.4137596895998</v>
      </c>
      <c r="M52" s="14">
        <f t="shared" si="5"/>
        <v>14147.275046550012</v>
      </c>
      <c r="N52" s="18">
        <f>IF(N4&gt;0,(M52/$N$4/12),0)</f>
        <v>0.0619516335897268</v>
      </c>
    </row>
    <row r="53" spans="2:14" ht="24">
      <c r="B53" s="9">
        <v>46</v>
      </c>
      <c r="C53" s="7" t="s">
        <v>96</v>
      </c>
      <c r="D53" s="7" t="s">
        <v>95</v>
      </c>
      <c r="E53" s="11">
        <v>0.001</v>
      </c>
      <c r="F53" s="11">
        <v>12</v>
      </c>
      <c r="G53" s="14">
        <f>155242.243548*E53*F53</f>
        <v>1862.906922576</v>
      </c>
      <c r="H53" s="14">
        <f>1074.4249824*E53*F53</f>
        <v>12.8930997888</v>
      </c>
      <c r="I53" s="14">
        <f t="shared" si="4"/>
        <v>0</v>
      </c>
      <c r="J53" s="14">
        <f>147790.6158577*E53*F53</f>
        <v>1773.4873902924</v>
      </c>
      <c r="K53" s="14">
        <f>31931.26486075*E53*F53</f>
        <v>383.175178329</v>
      </c>
      <c r="L53" s="14">
        <f>31048.4487096*E53*F53</f>
        <v>372.58138451520006</v>
      </c>
      <c r="M53" s="14">
        <f t="shared" si="5"/>
        <v>4405.0439755014</v>
      </c>
      <c r="N53" s="18">
        <f>IF(N4&gt;0,(M53/$N$4/12),0)</f>
        <v>0.019289910560086707</v>
      </c>
    </row>
    <row r="54" spans="2:14" ht="12">
      <c r="B54" s="9">
        <v>47</v>
      </c>
      <c r="C54" s="7" t="s">
        <v>97</v>
      </c>
      <c r="D54" s="7" t="s">
        <v>98</v>
      </c>
      <c r="E54" s="11">
        <v>0.001</v>
      </c>
      <c r="F54" s="11">
        <v>12</v>
      </c>
      <c r="G54" s="14">
        <f>17076.154452*E54*F54</f>
        <v>204.91385342400002</v>
      </c>
      <c r="H54" s="14">
        <f>117.281304*E54*F54</f>
        <v>1.407375648</v>
      </c>
      <c r="I54" s="14">
        <f t="shared" si="4"/>
        <v>0</v>
      </c>
      <c r="J54" s="14">
        <f>16256.499038304*E54*F54</f>
        <v>195.077988459648</v>
      </c>
      <c r="K54" s="14">
        <f>3512.2431534019*E54*F54</f>
        <v>42.1469178408228</v>
      </c>
      <c r="L54" s="14">
        <f>3415.2308904*E54*F54</f>
        <v>40.9827706848</v>
      </c>
      <c r="M54" s="14">
        <f t="shared" si="5"/>
        <v>484.52890605727083</v>
      </c>
      <c r="N54" s="18">
        <f>IF(N4&gt;0,(M54/$N$4/12),0)</f>
        <v>0.00212177660736237</v>
      </c>
    </row>
    <row r="55" spans="2:14" ht="12">
      <c r="B55" s="9">
        <v>48</v>
      </c>
      <c r="C55" s="7" t="s">
        <v>99</v>
      </c>
      <c r="D55" s="7" t="s">
        <v>100</v>
      </c>
      <c r="E55" s="11">
        <v>0.001</v>
      </c>
      <c r="F55" s="11">
        <v>104</v>
      </c>
      <c r="G55" s="14">
        <f>13306.44*E55*F55</f>
        <v>1383.86976</v>
      </c>
      <c r="H55" s="14">
        <f>27.72*E55*F55</f>
        <v>2.8828799999999997</v>
      </c>
      <c r="I55" s="14">
        <f t="shared" si="4"/>
        <v>0</v>
      </c>
      <c r="J55" s="14">
        <f>12667.73088*E55*F55</f>
        <v>1317.4440115199998</v>
      </c>
      <c r="K55" s="14">
        <f>2730.1985424*E55*F55</f>
        <v>283.94064840960004</v>
      </c>
      <c r="L55" s="14">
        <f>2661.288*E55*F55</f>
        <v>276.773952</v>
      </c>
      <c r="M55" s="14">
        <f t="shared" si="5"/>
        <v>3264.9112519296</v>
      </c>
      <c r="N55" s="18">
        <f>IF(N4&gt;0,(M55/$N$4/12),0)</f>
        <v>0.01429721164796637</v>
      </c>
    </row>
    <row r="56" spans="2:14" ht="12">
      <c r="B56" s="9">
        <v>49</v>
      </c>
      <c r="C56" s="7" t="s">
        <v>101</v>
      </c>
      <c r="D56" s="7" t="s">
        <v>102</v>
      </c>
      <c r="E56" s="11">
        <v>0.18</v>
      </c>
      <c r="F56" s="11">
        <v>12</v>
      </c>
      <c r="G56" s="14">
        <f>154.707112*E56*F56</f>
        <v>334.16736191999996</v>
      </c>
      <c r="H56" s="14">
        <f>39.093768*E56*F56</f>
        <v>84.44253887999999</v>
      </c>
      <c r="I56" s="14">
        <f>54.708*E56*F56</f>
        <v>118.16927999999999</v>
      </c>
      <c r="J56" s="14">
        <f>147.281170624*E56*F56</f>
        <v>318.12732854783997</v>
      </c>
      <c r="K56" s="14">
        <f>41.55795531552*E56*F56</f>
        <v>89.7651834815232</v>
      </c>
      <c r="L56" s="14">
        <f>30.9414224*E56*F56</f>
        <v>66.833472384</v>
      </c>
      <c r="M56" s="14">
        <f t="shared" si="5"/>
        <v>1011.5051652133632</v>
      </c>
      <c r="N56" s="18">
        <f>IF(N4&gt;0,(M56/$N$4/12),0)</f>
        <v>0.0044294323227069676</v>
      </c>
    </row>
    <row r="57" spans="2:14" ht="12">
      <c r="B57" s="9">
        <v>50</v>
      </c>
      <c r="C57" s="7" t="s">
        <v>103</v>
      </c>
      <c r="D57" s="7" t="s">
        <v>104</v>
      </c>
      <c r="E57" s="11">
        <v>0.04</v>
      </c>
      <c r="F57" s="11">
        <v>2</v>
      </c>
      <c r="G57" s="14">
        <f>11839.83*E57*F57</f>
        <v>947.1864</v>
      </c>
      <c r="H57" s="14">
        <f>0*E57*F57</f>
        <v>0</v>
      </c>
      <c r="I57" s="14">
        <f aca="true" t="shared" si="6" ref="I57:I64">0*E57*F57</f>
        <v>0</v>
      </c>
      <c r="J57" s="14">
        <f>11271.51816*E57*F57</f>
        <v>901.7214528</v>
      </c>
      <c r="K57" s="14">
        <f>2426.6915568*E57*F57</f>
        <v>194.135324544</v>
      </c>
      <c r="L57" s="14">
        <f>2367.966*E57*F57</f>
        <v>189.43728</v>
      </c>
      <c r="M57" s="14">
        <f t="shared" si="5"/>
        <v>2232.480457344</v>
      </c>
      <c r="N57" s="18">
        <f>IF(N4&gt;0,(M57/$N$4/12),0)</f>
        <v>0.009776144934944825</v>
      </c>
    </row>
    <row r="58" spans="2:14" ht="12">
      <c r="B58" s="9">
        <v>51</v>
      </c>
      <c r="C58" s="7" t="s">
        <v>105</v>
      </c>
      <c r="D58" s="7" t="s">
        <v>106</v>
      </c>
      <c r="E58" s="11">
        <v>0.03</v>
      </c>
      <c r="F58" s="11">
        <v>2</v>
      </c>
      <c r="G58" s="14">
        <f>27708.048*E58*F58</f>
        <v>1662.4828799999998</v>
      </c>
      <c r="H58" s="14">
        <f>0*E58*F58</f>
        <v>0</v>
      </c>
      <c r="I58" s="14">
        <f t="shared" si="6"/>
        <v>0</v>
      </c>
      <c r="J58" s="14">
        <f>26378.061696*E58*F58</f>
        <v>1582.68370176</v>
      </c>
      <c r="K58" s="14">
        <f>5679.04151808*E58*F58</f>
        <v>340.7424910848</v>
      </c>
      <c r="L58" s="14">
        <f>5541.6096*E58*F58</f>
        <v>332.49657599999995</v>
      </c>
      <c r="M58" s="14">
        <f t="shared" si="5"/>
        <v>3918.4056488447995</v>
      </c>
      <c r="N58" s="18">
        <f>IF(N4&gt;0,(M58/$N$4/12),0)</f>
        <v>0.017158896693137148</v>
      </c>
    </row>
    <row r="59" spans="2:14" ht="12">
      <c r="B59" s="9">
        <v>52</v>
      </c>
      <c r="C59" s="7" t="s">
        <v>107</v>
      </c>
      <c r="D59" s="7" t="s">
        <v>108</v>
      </c>
      <c r="E59" s="11">
        <v>3</v>
      </c>
      <c r="F59" s="11">
        <v>2</v>
      </c>
      <c r="G59" s="14">
        <f>80.838576*E59*F59</f>
        <v>485.03145600000005</v>
      </c>
      <c r="H59" s="14">
        <f>29.882859552*E59*F59</f>
        <v>179.297157312</v>
      </c>
      <c r="I59" s="14">
        <f t="shared" si="6"/>
        <v>0</v>
      </c>
      <c r="J59" s="14">
        <f>76.958324352*E59*F59</f>
        <v>461.74994611200003</v>
      </c>
      <c r="K59" s="14">
        <f>19.70637478992*E59*F59</f>
        <v>118.23824873952</v>
      </c>
      <c r="L59" s="14">
        <f>16.1677152*E59*F59</f>
        <v>97.00629119999999</v>
      </c>
      <c r="M59" s="14">
        <f t="shared" si="5"/>
        <v>1341.3230993635202</v>
      </c>
      <c r="N59" s="18">
        <f>IF(N4&gt;0,(M59/$N$4/12),0)</f>
        <v>0.005873721752336312</v>
      </c>
    </row>
    <row r="60" spans="2:14" ht="12">
      <c r="B60" s="9">
        <v>53</v>
      </c>
      <c r="C60" s="7" t="s">
        <v>109</v>
      </c>
      <c r="D60" s="7" t="s">
        <v>110</v>
      </c>
      <c r="E60" s="11">
        <v>1</v>
      </c>
      <c r="F60" s="11">
        <v>2</v>
      </c>
      <c r="G60" s="14">
        <f>190.548072*E60*F60</f>
        <v>381.096144</v>
      </c>
      <c r="H60" s="14">
        <f>42.46140276*E60*F60</f>
        <v>84.92280552</v>
      </c>
      <c r="I60" s="14">
        <f t="shared" si="6"/>
        <v>0</v>
      </c>
      <c r="J60" s="14">
        <f>181.401764544*E60*F60</f>
        <v>362.803529088</v>
      </c>
      <c r="K60" s="14">
        <f>43.51318012692*E60*F60</f>
        <v>87.02636025384</v>
      </c>
      <c r="L60" s="14">
        <f>38.1096144*E60*F60</f>
        <v>76.2192288</v>
      </c>
      <c r="M60" s="14">
        <f t="shared" si="5"/>
        <v>992.06806766184</v>
      </c>
      <c r="N60" s="18">
        <f>IF(N4&gt;0,(M60/$N$4/12),0)</f>
        <v>0.004344316288587493</v>
      </c>
    </row>
    <row r="61" spans="2:14" ht="12">
      <c r="B61" s="9">
        <v>54</v>
      </c>
      <c r="C61" s="7" t="s">
        <v>111</v>
      </c>
      <c r="D61" s="7" t="s">
        <v>112</v>
      </c>
      <c r="E61" s="11">
        <v>1</v>
      </c>
      <c r="F61" s="11">
        <v>2</v>
      </c>
      <c r="G61" s="14">
        <f>86.61276*E61*F61</f>
        <v>173.22552</v>
      </c>
      <c r="H61" s="14">
        <f>49.409222688*E61*F61</f>
        <v>98.818445376</v>
      </c>
      <c r="I61" s="14">
        <f t="shared" si="6"/>
        <v>0</v>
      </c>
      <c r="J61" s="14">
        <f>82.45534752*E61*F61</f>
        <v>164.91069504</v>
      </c>
      <c r="K61" s="14">
        <f>22.94011967184*E61*F61</f>
        <v>45.88023934368</v>
      </c>
      <c r="L61" s="14">
        <f>17.322552*E61*F61</f>
        <v>34.645104</v>
      </c>
      <c r="M61" s="14">
        <f t="shared" si="5"/>
        <v>517.4800037596799</v>
      </c>
      <c r="N61" s="18">
        <f>IF(N4&gt;0,(M61/$N$4/12),0)</f>
        <v>0.002266071132245927</v>
      </c>
    </row>
    <row r="62" spans="2:14" ht="12">
      <c r="B62" s="9">
        <v>55</v>
      </c>
      <c r="C62" s="7" t="s">
        <v>113</v>
      </c>
      <c r="D62" s="7" t="s">
        <v>114</v>
      </c>
      <c r="E62" s="11">
        <v>1</v>
      </c>
      <c r="F62" s="11">
        <v>2</v>
      </c>
      <c r="G62" s="14">
        <f>200.652894*E62*F62</f>
        <v>401.305788</v>
      </c>
      <c r="H62" s="14">
        <f>42.46140276*E62*F62</f>
        <v>84.92280552</v>
      </c>
      <c r="I62" s="14">
        <f t="shared" si="6"/>
        <v>0</v>
      </c>
      <c r="J62" s="14">
        <f>191.021555088*E62*F62</f>
        <v>382.043110176</v>
      </c>
      <c r="K62" s="14">
        <f>45.58426444404*E62*F62</f>
        <v>91.16852888808</v>
      </c>
      <c r="L62" s="14">
        <f>40.1305788*E62*F62</f>
        <v>80.2611576</v>
      </c>
      <c r="M62" s="14">
        <f t="shared" si="5"/>
        <v>1039.70139018408</v>
      </c>
      <c r="N62" s="18">
        <f>IF(N4&gt;0,(M62/$N$4/12),0)</f>
        <v>0.004552905019198109</v>
      </c>
    </row>
    <row r="63" spans="2:14" ht="36">
      <c r="B63" s="9">
        <v>56</v>
      </c>
      <c r="C63" s="7" t="s">
        <v>115</v>
      </c>
      <c r="D63" s="7" t="s">
        <v>116</v>
      </c>
      <c r="E63" s="11">
        <v>0.06</v>
      </c>
      <c r="F63" s="11">
        <v>24</v>
      </c>
      <c r="G63" s="14">
        <f>3104.392452*E63*F63</f>
        <v>4470.32513088</v>
      </c>
      <c r="H63" s="14">
        <f>85.85136*E63*F63</f>
        <v>123.62595839999999</v>
      </c>
      <c r="I63" s="14">
        <f t="shared" si="6"/>
        <v>0</v>
      </c>
      <c r="J63" s="14">
        <f>2955.381614304*E63*F63</f>
        <v>4255.749524597759</v>
      </c>
      <c r="K63" s="14">
        <f>645.29066976192*E63*F63</f>
        <v>929.2185644571648</v>
      </c>
      <c r="L63" s="14">
        <f>620.8784904*E63*F63</f>
        <v>894.0650261760001</v>
      </c>
      <c r="M63" s="14">
        <f t="shared" si="5"/>
        <v>10672.984204510924</v>
      </c>
      <c r="N63" s="18">
        <f>IF(N4&gt;0,(M63/$N$4/12),0)</f>
        <v>0.046737538117493975</v>
      </c>
    </row>
    <row r="64" spans="2:14" ht="36">
      <c r="B64" s="9">
        <v>57</v>
      </c>
      <c r="C64" s="7" t="s">
        <v>117</v>
      </c>
      <c r="D64" s="7" t="s">
        <v>116</v>
      </c>
      <c r="E64" s="11">
        <v>0.06</v>
      </c>
      <c r="F64" s="11">
        <v>12</v>
      </c>
      <c r="G64" s="14">
        <f>13528.657548*E64*F64</f>
        <v>9740.633434559999</v>
      </c>
      <c r="H64" s="14">
        <f>282.0384*E64*F64</f>
        <v>203.06764800000002</v>
      </c>
      <c r="I64" s="14">
        <f t="shared" si="6"/>
        <v>0</v>
      </c>
      <c r="J64" s="14">
        <f>12879.281985696*E64*F64</f>
        <v>9273.08302970112</v>
      </c>
      <c r="K64" s="14">
        <f>2802.4476830381*E64*F64</f>
        <v>2017.762331787432</v>
      </c>
      <c r="L64" s="14">
        <f>2705.7315096*E64*F64</f>
        <v>1948.126686912</v>
      </c>
      <c r="M64" s="14">
        <f t="shared" si="5"/>
        <v>23182.673130960553</v>
      </c>
      <c r="N64" s="18">
        <f>IF(N4&gt;0,(M64/$N$4/12),0)</f>
        <v>0.10151809918970289</v>
      </c>
    </row>
    <row r="65" spans="2:14" ht="24">
      <c r="B65" s="9">
        <v>58</v>
      </c>
      <c r="C65" s="7" t="s">
        <v>118</v>
      </c>
      <c r="D65" s="7" t="s">
        <v>119</v>
      </c>
      <c r="E65" s="11">
        <v>1.2</v>
      </c>
      <c r="F65" s="11">
        <v>12</v>
      </c>
      <c r="G65" s="14">
        <f>0*E65*F65</f>
        <v>0</v>
      </c>
      <c r="H65" s="14">
        <f>0*E65*F65</f>
        <v>0</v>
      </c>
      <c r="I65" s="14">
        <f>201.2582488*E65*F65</f>
        <v>2898.1187827199997</v>
      </c>
      <c r="J65" s="14">
        <f>46.6195633792*E65*F65</f>
        <v>671.32171266048</v>
      </c>
      <c r="K65" s="14">
        <f>26.027170278816*E65*F65</f>
        <v>374.7912520149504</v>
      </c>
      <c r="L65" s="14">
        <f>9.79402592*E65*F65</f>
        <v>141.033973248</v>
      </c>
      <c r="M65" s="14">
        <f t="shared" si="5"/>
        <v>4085.26572064343</v>
      </c>
      <c r="N65" s="18">
        <f>IF(N4&gt;0,(M65/$N$4/12),0)</f>
        <v>0.017889585394304738</v>
      </c>
    </row>
    <row r="66" spans="2:14" ht="24">
      <c r="B66" s="9">
        <v>59</v>
      </c>
      <c r="C66" s="7" t="s">
        <v>120</v>
      </c>
      <c r="D66" s="7" t="s">
        <v>119</v>
      </c>
      <c r="E66" s="11">
        <v>2.4</v>
      </c>
      <c r="F66" s="11">
        <v>12</v>
      </c>
      <c r="G66" s="14">
        <f>0*E66*F66</f>
        <v>0</v>
      </c>
      <c r="H66" s="14">
        <f>0*E66*F66</f>
        <v>0</v>
      </c>
      <c r="I66" s="14">
        <f>44.1057024*E66*F66</f>
        <v>1270.24422912</v>
      </c>
      <c r="J66" s="14">
        <f>13.0800961536*E66*F66</f>
        <v>376.70676922368</v>
      </c>
      <c r="K66" s="14">
        <f>6.004508848128*E66*F66</f>
        <v>172.9298548260864</v>
      </c>
      <c r="L66" s="14">
        <f>2.74791936*E66*F66</f>
        <v>79.140077568</v>
      </c>
      <c r="M66" s="14">
        <f t="shared" si="5"/>
        <v>1899.0209307377663</v>
      </c>
      <c r="N66" s="18">
        <f>IF(N4&gt;0,(M66/$N$4/12),0)</f>
        <v>0.008315908787606264</v>
      </c>
    </row>
    <row r="67" spans="2:14" ht="24">
      <c r="B67" s="9">
        <v>60</v>
      </c>
      <c r="C67" s="7" t="s">
        <v>121</v>
      </c>
      <c r="D67" s="7" t="s">
        <v>119</v>
      </c>
      <c r="E67" s="11">
        <v>2.4</v>
      </c>
      <c r="F67" s="11">
        <v>12</v>
      </c>
      <c r="G67" s="14">
        <f>0*E67*F67</f>
        <v>0</v>
      </c>
      <c r="H67" s="14">
        <f>0*E67*F67</f>
        <v>0</v>
      </c>
      <c r="I67" s="14">
        <f>75.806676*E67*F67</f>
        <v>2183.2322688</v>
      </c>
      <c r="J67" s="14">
        <f>22.481415264*E67*F67</f>
        <v>647.4647596031999</v>
      </c>
      <c r="K67" s="14">
        <f>10.32024958272*E67*F67</f>
        <v>297.223187982336</v>
      </c>
      <c r="L67" s="14">
        <f>4.7229864*E67*F67</f>
        <v>136.02200832</v>
      </c>
      <c r="M67" s="14">
        <f t="shared" si="5"/>
        <v>3263.9422247055363</v>
      </c>
      <c r="N67" s="18">
        <f>IF(N4&gt;0,(M67/$N$4/12),0)</f>
        <v>0.014292968228698267</v>
      </c>
    </row>
    <row r="68" spans="2:14" ht="24">
      <c r="B68" s="9">
        <v>61</v>
      </c>
      <c r="C68" s="7" t="s">
        <v>122</v>
      </c>
      <c r="D68" s="7" t="s">
        <v>119</v>
      </c>
      <c r="E68" s="11">
        <v>2.4</v>
      </c>
      <c r="F68" s="11">
        <v>16</v>
      </c>
      <c r="G68" s="14">
        <f>0*E68*F68</f>
        <v>0</v>
      </c>
      <c r="H68" s="14">
        <f>0*E68*F68</f>
        <v>0</v>
      </c>
      <c r="I68" s="14">
        <f>86.8331016*E68*F68</f>
        <v>3334.39110144</v>
      </c>
      <c r="J68" s="14">
        <f>25.7514393024*E68*F68</f>
        <v>988.85526921216</v>
      </c>
      <c r="K68" s="14">
        <f>11.821376794752*E68*F68</f>
        <v>453.9408689184768</v>
      </c>
      <c r="L68" s="14">
        <f>5.40996624*E68*F68</f>
        <v>207.742703616</v>
      </c>
      <c r="M68" s="14">
        <f t="shared" si="5"/>
        <v>4984.929943186637</v>
      </c>
      <c r="N68" s="18">
        <f>IF(N4&gt;0,(M68/$N$4/12),0)</f>
        <v>0.02182926056746644</v>
      </c>
    </row>
    <row r="69" spans="2:14" ht="24">
      <c r="B69" s="9">
        <v>62</v>
      </c>
      <c r="C69" s="7" t="s">
        <v>123</v>
      </c>
      <c r="D69" s="7" t="s">
        <v>124</v>
      </c>
      <c r="E69" s="11">
        <v>0.22</v>
      </c>
      <c r="F69" s="11">
        <v>144</v>
      </c>
      <c r="G69" s="14">
        <f>183.628872*E69*F69</f>
        <v>5817.362664960001</v>
      </c>
      <c r="H69" s="14">
        <f>0.8555904*E69*F69</f>
        <v>27.105103871999997</v>
      </c>
      <c r="I69" s="14">
        <f aca="true" t="shared" si="7" ref="I69:I75">0*E69*F69</f>
        <v>0</v>
      </c>
      <c r="J69" s="14">
        <f>174.814686144*E69*F69</f>
        <v>5538.12925704192</v>
      </c>
      <c r="K69" s="14">
        <f>37.72641059712*E69*F69</f>
        <v>1195.1726877167616</v>
      </c>
      <c r="L69" s="14">
        <f>36.7257744*E69*F69</f>
        <v>1163.472532992</v>
      </c>
      <c r="M69" s="14">
        <f t="shared" si="5"/>
        <v>13741.242246582684</v>
      </c>
      <c r="N69" s="18">
        <f>IF(N4&gt;0,(M69/$N$4/12),0)</f>
        <v>0.06017359540454845</v>
      </c>
    </row>
    <row r="70" spans="2:14" ht="24">
      <c r="B70" s="9">
        <v>63</v>
      </c>
      <c r="C70" s="7" t="s">
        <v>125</v>
      </c>
      <c r="D70" s="7" t="s">
        <v>124</v>
      </c>
      <c r="E70" s="11">
        <v>0.22</v>
      </c>
      <c r="F70" s="11">
        <v>103</v>
      </c>
      <c r="G70" s="14">
        <f>33.931422*E70*F70</f>
        <v>768.88602252</v>
      </c>
      <c r="H70" s="14">
        <f>0.42835842*E70*F70</f>
        <v>9.706601797200001</v>
      </c>
      <c r="I70" s="14">
        <f t="shared" si="7"/>
        <v>0</v>
      </c>
      <c r="J70" s="14">
        <f>32.302713744*E70*F70</f>
        <v>731.97949343904</v>
      </c>
      <c r="K70" s="14">
        <f>6.99956188722*E70*F70</f>
        <v>158.6100723644052</v>
      </c>
      <c r="L70" s="14">
        <f>6.7862844*E70*F70</f>
        <v>153.77720450400003</v>
      </c>
      <c r="M70" s="14">
        <f t="shared" si="5"/>
        <v>1822.9593946246453</v>
      </c>
      <c r="N70" s="18">
        <f>IF(N4&gt;0,(M70/$N$4/12),0)</f>
        <v>0.007982831470593121</v>
      </c>
    </row>
    <row r="71" spans="2:14" ht="12">
      <c r="B71" s="9">
        <v>64</v>
      </c>
      <c r="C71" s="7" t="s">
        <v>126</v>
      </c>
      <c r="D71" s="7" t="s">
        <v>124</v>
      </c>
      <c r="E71" s="11">
        <v>0.14</v>
      </c>
      <c r="F71" s="11">
        <v>247</v>
      </c>
      <c r="G71" s="14">
        <f>798.3864*E71*F71</f>
        <v>27608.201712000002</v>
      </c>
      <c r="H71" s="14">
        <f>1.5241968*E71*F71</f>
        <v>52.706725344</v>
      </c>
      <c r="I71" s="14">
        <f t="shared" si="7"/>
        <v>0</v>
      </c>
      <c r="J71" s="14">
        <f>760.0638528*E71*F71</f>
        <v>26283.008029824003</v>
      </c>
      <c r="K71" s="14">
        <f>163.797317208*E71*F71</f>
        <v>5664.111229052641</v>
      </c>
      <c r="L71" s="14">
        <f>159.67728*E71*F71</f>
        <v>5521.6403424</v>
      </c>
      <c r="M71" s="14">
        <f t="shared" si="5"/>
        <v>65129.66803862065</v>
      </c>
      <c r="N71" s="18">
        <f>IF(N4&gt;0,(M71/$N$4/12),0)</f>
        <v>0.28520611332378987</v>
      </c>
    </row>
    <row r="72" spans="2:14" ht="12">
      <c r="B72" s="9">
        <v>65</v>
      </c>
      <c r="C72" s="7" t="s">
        <v>127</v>
      </c>
      <c r="D72" s="7" t="s">
        <v>102</v>
      </c>
      <c r="E72" s="11">
        <v>0.14</v>
      </c>
      <c r="F72" s="11">
        <v>247</v>
      </c>
      <c r="G72" s="14">
        <f>323.346492*E72*F72</f>
        <v>11181.321693360002</v>
      </c>
      <c r="H72" s="14">
        <f>1.9546884*E72*F72</f>
        <v>67.593124872</v>
      </c>
      <c r="I72" s="14">
        <f t="shared" si="7"/>
        <v>0</v>
      </c>
      <c r="J72" s="14">
        <f>307.825860384*E72*F72</f>
        <v>10644.61825207872</v>
      </c>
      <c r="K72" s="14">
        <f>66.47833928232*E72*F72</f>
        <v>2298.8209723826258</v>
      </c>
      <c r="L72" s="14">
        <f>64.6692984*E72*F72</f>
        <v>2236.264338672</v>
      </c>
      <c r="M72" s="14">
        <f t="shared" si="5"/>
        <v>26428.61838136535</v>
      </c>
      <c r="N72" s="18">
        <f>IF(N4&gt;0,(M72/$N$4/12),0)</f>
        <v>0.11573225775689855</v>
      </c>
    </row>
    <row r="73" spans="2:14" ht="12">
      <c r="B73" s="9">
        <v>66</v>
      </c>
      <c r="C73" s="7" t="s">
        <v>128</v>
      </c>
      <c r="D73" s="7" t="s">
        <v>129</v>
      </c>
      <c r="E73" s="11">
        <v>14</v>
      </c>
      <c r="F73" s="11">
        <v>2</v>
      </c>
      <c r="G73" s="14">
        <f>53.22576*E73*F73</f>
        <v>1490.3212800000001</v>
      </c>
      <c r="H73" s="14">
        <f>0*E73*F73</f>
        <v>0</v>
      </c>
      <c r="I73" s="14">
        <f t="shared" si="7"/>
        <v>0</v>
      </c>
      <c r="J73" s="14">
        <f>50.67092352*E73*F73</f>
        <v>1418.7858585600002</v>
      </c>
      <c r="K73" s="14">
        <f>10.9091517696*E73*F73</f>
        <v>305.4562495488</v>
      </c>
      <c r="L73" s="14">
        <f>10.645152*E73*F73</f>
        <v>298.064256</v>
      </c>
      <c r="M73" s="14">
        <f t="shared" si="5"/>
        <v>3512.6276441088003</v>
      </c>
      <c r="N73" s="18">
        <f>IF(N4&gt;0,(M73/$N$4/12),0)</f>
        <v>0.015381974269174988</v>
      </c>
    </row>
    <row r="74" spans="2:14" ht="12">
      <c r="B74" s="9">
        <v>67</v>
      </c>
      <c r="C74" s="7" t="s">
        <v>130</v>
      </c>
      <c r="D74" s="7" t="s">
        <v>124</v>
      </c>
      <c r="E74" s="11">
        <v>0.18</v>
      </c>
      <c r="F74" s="11">
        <v>12</v>
      </c>
      <c r="G74" s="14">
        <f>337.0521252*E74*F74</f>
        <v>728.0325904319999</v>
      </c>
      <c r="H74" s="14">
        <f>39.871566*E74*F74</f>
        <v>86.12258256</v>
      </c>
      <c r="I74" s="14">
        <f t="shared" si="7"/>
        <v>0</v>
      </c>
      <c r="J74" s="14">
        <f>320.8736231904*E74*F74</f>
        <v>693.087026091264</v>
      </c>
      <c r="K74" s="14">
        <f>73.268718010992*E74*F74</f>
        <v>158.2604309037427</v>
      </c>
      <c r="L74" s="14">
        <f>67.41042504*E74*F74</f>
        <v>145.6065180864</v>
      </c>
      <c r="M74" s="14">
        <f t="shared" si="5"/>
        <v>1811.1091480734065</v>
      </c>
      <c r="N74" s="18">
        <f>IF(N4&gt;0,(M74/$N$4/12),0)</f>
        <v>0.007930938641064138</v>
      </c>
    </row>
    <row r="75" spans="2:14" ht="12">
      <c r="B75" s="9">
        <v>68</v>
      </c>
      <c r="C75" s="7" t="s">
        <v>131</v>
      </c>
      <c r="D75" s="7" t="s">
        <v>132</v>
      </c>
      <c r="E75" s="11">
        <v>18</v>
      </c>
      <c r="F75" s="11">
        <v>2</v>
      </c>
      <c r="G75" s="14">
        <f>34.645104*E75*F75</f>
        <v>1247.2237440000001</v>
      </c>
      <c r="H75" s="14">
        <f>4.246140276*E75*F75</f>
        <v>152.861049936</v>
      </c>
      <c r="I75" s="14">
        <f t="shared" si="7"/>
        <v>0</v>
      </c>
      <c r="J75" s="14">
        <f>32.982139008*E75*F75</f>
        <v>1187.3570042879999</v>
      </c>
      <c r="K75" s="14">
        <f>7.54670524482*E75*F75</f>
        <v>271.68138881352</v>
      </c>
      <c r="L75" s="14">
        <f>6.9290208*E75*F75</f>
        <v>249.4447488</v>
      </c>
      <c r="M75" s="14">
        <f t="shared" si="5"/>
        <v>3108.5679358375205</v>
      </c>
      <c r="N75" s="18">
        <f>IF(N4&gt;0,(M75/$N$4/12),0)</f>
        <v>0.013612576352415135</v>
      </c>
    </row>
    <row r="76" spans="2:14" ht="12.75">
      <c r="B76" s="43" t="s">
        <v>64</v>
      </c>
      <c r="C76" s="44"/>
      <c r="D76" s="44"/>
      <c r="E76" s="44"/>
      <c r="F76" s="44"/>
      <c r="G76" s="15">
        <f aca="true" t="shared" si="8" ref="G76:N76">SUM(G36:G75)</f>
        <v>1040070.6377437897</v>
      </c>
      <c r="H76" s="15">
        <f t="shared" si="8"/>
        <v>194929.40937455738</v>
      </c>
      <c r="I76" s="15">
        <f t="shared" si="8"/>
        <v>9804.15566208</v>
      </c>
      <c r="J76" s="15">
        <f t="shared" si="8"/>
        <v>992831.5956427879</v>
      </c>
      <c r="K76" s="15">
        <f t="shared" si="8"/>
        <v>234951.75883443753</v>
      </c>
      <c r="L76" s="15">
        <f t="shared" si="8"/>
        <v>208578.0663115099</v>
      </c>
      <c r="M76" s="15">
        <f t="shared" si="8"/>
        <v>2681165.623569161</v>
      </c>
      <c r="N76" s="19">
        <f t="shared" si="8"/>
        <v>11.740959991106855</v>
      </c>
    </row>
    <row r="77" spans="2:14" ht="27.75" customHeight="1">
      <c r="B77" s="45" t="s">
        <v>133</v>
      </c>
      <c r="C77" s="46"/>
      <c r="D77" s="46"/>
      <c r="E77" s="46"/>
      <c r="F77" s="46"/>
      <c r="G77" s="20">
        <f aca="true" t="shared" si="9" ref="G77:N77">G34+G76</f>
        <v>1138917.8453180548</v>
      </c>
      <c r="H77" s="20">
        <f t="shared" si="9"/>
        <v>313888.95302276476</v>
      </c>
      <c r="I77" s="20">
        <f t="shared" si="9"/>
        <v>9804.15566208</v>
      </c>
      <c r="J77" s="20">
        <f t="shared" si="9"/>
        <v>1086934.1372534884</v>
      </c>
      <c r="K77" s="20">
        <f t="shared" si="9"/>
        <v>267702.2345819207</v>
      </c>
      <c r="L77" s="20">
        <f t="shared" si="9"/>
        <v>228347.50782636294</v>
      </c>
      <c r="M77" s="20">
        <f t="shared" si="9"/>
        <v>3045594.83366467</v>
      </c>
      <c r="N77" s="21">
        <f t="shared" si="9"/>
        <v>13.336813950186857</v>
      </c>
    </row>
    <row r="81" spans="3:14" ht="18">
      <c r="C81" s="47" t="s">
        <v>134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3:11" ht="19.5" customHeight="1">
      <c r="C82" s="48" t="s">
        <v>135</v>
      </c>
      <c r="D82" s="36"/>
      <c r="E82" s="49">
        <f>G77</f>
        <v>1138917.8453180548</v>
      </c>
      <c r="F82" s="36"/>
      <c r="G82" s="48" t="s">
        <v>136</v>
      </c>
      <c r="H82" s="36"/>
      <c r="I82" s="36"/>
      <c r="J82" s="49">
        <f>J77</f>
        <v>1086934.1372534884</v>
      </c>
      <c r="K82" s="36"/>
    </row>
    <row r="83" spans="3:11" ht="19.5" customHeight="1">
      <c r="C83" s="48" t="s">
        <v>137</v>
      </c>
      <c r="D83" s="36"/>
      <c r="E83" s="49">
        <f>H77</f>
        <v>313888.95302276476</v>
      </c>
      <c r="F83" s="36"/>
      <c r="G83" s="48" t="s">
        <v>138</v>
      </c>
      <c r="H83" s="36"/>
      <c r="I83" s="36"/>
      <c r="J83" s="49">
        <f>K77</f>
        <v>267702.2345819207</v>
      </c>
      <c r="K83" s="36"/>
    </row>
    <row r="84" spans="3:11" ht="19.5" customHeight="1">
      <c r="C84" s="48" t="s">
        <v>139</v>
      </c>
      <c r="D84" s="36"/>
      <c r="E84" s="49">
        <f>I77</f>
        <v>9804.15566208</v>
      </c>
      <c r="F84" s="36"/>
      <c r="G84" s="48" t="s">
        <v>140</v>
      </c>
      <c r="H84" s="36"/>
      <c r="I84" s="36"/>
      <c r="J84" s="49">
        <f>L77</f>
        <v>228347.50782636294</v>
      </c>
      <c r="K84" s="36"/>
    </row>
    <row r="85" spans="3:11" ht="15">
      <c r="C85" s="5"/>
      <c r="E85" s="22"/>
      <c r="G85" s="48" t="s">
        <v>141</v>
      </c>
      <c r="H85" s="36"/>
      <c r="I85" s="36"/>
      <c r="J85" s="49">
        <f>M77</f>
        <v>3045594.83366467</v>
      </c>
      <c r="K85" s="36"/>
    </row>
  </sheetData>
  <sheetProtection formatCells="0" formatColumns="0" formatRows="0" insertColumns="0" insertRows="0" insertHyperlinks="0" deleteColumns="0" deleteRows="0" sort="0" autoFilter="0" pivotTables="0"/>
  <mergeCells count="23">
    <mergeCell ref="G85:I85"/>
    <mergeCell ref="J85:K85"/>
    <mergeCell ref="C83:D83"/>
    <mergeCell ref="E83:F83"/>
    <mergeCell ref="G83:I83"/>
    <mergeCell ref="J83:K83"/>
    <mergeCell ref="C84:D84"/>
    <mergeCell ref="E84:F84"/>
    <mergeCell ref="G84:I84"/>
    <mergeCell ref="J84:K84"/>
    <mergeCell ref="B76:F76"/>
    <mergeCell ref="B77:F77"/>
    <mergeCell ref="C81:N81"/>
    <mergeCell ref="C82:D82"/>
    <mergeCell ref="E82:F82"/>
    <mergeCell ref="G82:I82"/>
    <mergeCell ref="J82:K82"/>
    <mergeCell ref="B1:M1"/>
    <mergeCell ref="B4:K4"/>
    <mergeCell ref="L4:M4"/>
    <mergeCell ref="B5:N5"/>
    <mergeCell ref="B34:F34"/>
    <mergeCell ref="B35:N35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workbookViewId="0" topLeftCell="B53">
      <selection activeCell="B119" sqref="B119:G119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0" t="s">
        <v>142</v>
      </c>
      <c r="C1" s="50"/>
      <c r="D1" s="50"/>
      <c r="E1" s="50"/>
      <c r="F1" s="50"/>
      <c r="G1" s="50"/>
    </row>
    <row r="3" spans="1:7" ht="27">
      <c r="A3" s="23"/>
      <c r="B3" s="24" t="s">
        <v>1</v>
      </c>
      <c r="C3" s="24" t="s">
        <v>143</v>
      </c>
      <c r="D3" s="24" t="s">
        <v>144</v>
      </c>
      <c r="E3" s="24" t="s">
        <v>4</v>
      </c>
      <c r="F3" s="24" t="s">
        <v>145</v>
      </c>
      <c r="G3" s="25" t="s">
        <v>12</v>
      </c>
    </row>
    <row r="4" spans="2:7" ht="16.5">
      <c r="B4" s="51" t="s">
        <v>146</v>
      </c>
      <c r="C4" s="51"/>
      <c r="D4" s="51"/>
      <c r="E4" s="51"/>
      <c r="F4" s="51"/>
      <c r="G4" s="51"/>
    </row>
    <row r="5" spans="2:7" ht="12">
      <c r="B5" s="26">
        <v>1</v>
      </c>
      <c r="C5" s="28" t="s">
        <v>147</v>
      </c>
      <c r="D5" s="28" t="s">
        <v>148</v>
      </c>
      <c r="E5" s="29">
        <v>2.192</v>
      </c>
      <c r="F5" s="30">
        <v>178.03920000000002</v>
      </c>
      <c r="G5" s="31">
        <f aca="true" t="shared" si="0" ref="G5:G31">E5*F5</f>
        <v>390.2619264000001</v>
      </c>
    </row>
    <row r="6" spans="2:7" ht="12">
      <c r="B6" s="27">
        <v>2</v>
      </c>
      <c r="C6" s="7" t="s">
        <v>149</v>
      </c>
      <c r="D6" s="7" t="s">
        <v>148</v>
      </c>
      <c r="E6" s="12">
        <v>756.02918</v>
      </c>
      <c r="F6" s="14">
        <v>133.0644</v>
      </c>
      <c r="G6" s="32">
        <f t="shared" si="0"/>
        <v>100600.56921919201</v>
      </c>
    </row>
    <row r="7" spans="2:7" ht="12">
      <c r="B7" s="27">
        <v>3</v>
      </c>
      <c r="C7" s="7" t="s">
        <v>150</v>
      </c>
      <c r="D7" s="7" t="s">
        <v>148</v>
      </c>
      <c r="E7" s="12">
        <v>12.136</v>
      </c>
      <c r="F7" s="14">
        <v>157.8644</v>
      </c>
      <c r="G7" s="32">
        <f t="shared" si="0"/>
        <v>1915.8423583999997</v>
      </c>
    </row>
    <row r="8" spans="2:7" ht="24">
      <c r="B8" s="27">
        <v>4</v>
      </c>
      <c r="C8" s="7" t="s">
        <v>151</v>
      </c>
      <c r="D8" s="7" t="s">
        <v>148</v>
      </c>
      <c r="E8" s="12">
        <v>12.32</v>
      </c>
      <c r="F8" s="14">
        <v>178.03920000000002</v>
      </c>
      <c r="G8" s="32">
        <f t="shared" si="0"/>
        <v>2193.4429440000004</v>
      </c>
    </row>
    <row r="9" spans="2:7" ht="12">
      <c r="B9" s="27">
        <v>5</v>
      </c>
      <c r="C9" s="7" t="s">
        <v>152</v>
      </c>
      <c r="D9" s="7" t="s">
        <v>148</v>
      </c>
      <c r="E9" s="12">
        <v>18.62</v>
      </c>
      <c r="F9" s="14">
        <v>144.3546</v>
      </c>
      <c r="G9" s="32">
        <f t="shared" si="0"/>
        <v>2687.8826520000002</v>
      </c>
    </row>
    <row r="10" spans="2:7" ht="12">
      <c r="B10" s="27">
        <v>6</v>
      </c>
      <c r="C10" s="7" t="s">
        <v>153</v>
      </c>
      <c r="D10" s="7" t="s">
        <v>148</v>
      </c>
      <c r="E10" s="12">
        <v>6.919</v>
      </c>
      <c r="F10" s="14">
        <v>178.03920000000002</v>
      </c>
      <c r="G10" s="32">
        <f t="shared" si="0"/>
        <v>1231.8532248000001</v>
      </c>
    </row>
    <row r="11" spans="2:7" ht="12">
      <c r="B11" s="27">
        <v>7</v>
      </c>
      <c r="C11" s="7" t="s">
        <v>154</v>
      </c>
      <c r="D11" s="7" t="s">
        <v>148</v>
      </c>
      <c r="E11" s="12">
        <v>8.1168</v>
      </c>
      <c r="F11" s="14">
        <v>157.8644</v>
      </c>
      <c r="G11" s="32">
        <f t="shared" si="0"/>
        <v>1281.35376192</v>
      </c>
    </row>
    <row r="12" spans="2:7" ht="12">
      <c r="B12" s="27">
        <v>8</v>
      </c>
      <c r="C12" s="7" t="s">
        <v>155</v>
      </c>
      <c r="D12" s="7" t="s">
        <v>148</v>
      </c>
      <c r="E12" s="12">
        <v>8.1</v>
      </c>
      <c r="F12" s="14">
        <v>205.2448</v>
      </c>
      <c r="G12" s="32">
        <f t="shared" si="0"/>
        <v>1662.48288</v>
      </c>
    </row>
    <row r="13" spans="2:7" ht="24">
      <c r="B13" s="27">
        <v>9</v>
      </c>
      <c r="C13" s="7" t="s">
        <v>156</v>
      </c>
      <c r="D13" s="7" t="s">
        <v>148</v>
      </c>
      <c r="E13" s="12">
        <v>6469.05847982</v>
      </c>
      <c r="F13" s="14">
        <v>144.3546</v>
      </c>
      <c r="G13" s="32">
        <f t="shared" si="0"/>
        <v>933838.3492310242</v>
      </c>
    </row>
    <row r="14" spans="2:7" ht="24">
      <c r="B14" s="27">
        <v>10</v>
      </c>
      <c r="C14" s="7" t="s">
        <v>157</v>
      </c>
      <c r="D14" s="7" t="s">
        <v>148</v>
      </c>
      <c r="E14" s="12">
        <v>9.6</v>
      </c>
      <c r="F14" s="14">
        <v>178.03920000000002</v>
      </c>
      <c r="G14" s="32">
        <f t="shared" si="0"/>
        <v>1709.1763200000003</v>
      </c>
    </row>
    <row r="15" spans="2:7" ht="24">
      <c r="B15" s="27">
        <v>11</v>
      </c>
      <c r="C15" s="7" t="s">
        <v>158</v>
      </c>
      <c r="D15" s="7" t="s">
        <v>148</v>
      </c>
      <c r="E15" s="12">
        <v>0.188</v>
      </c>
      <c r="F15" s="14">
        <v>157.8644</v>
      </c>
      <c r="G15" s="32">
        <f t="shared" si="0"/>
        <v>29.6785072</v>
      </c>
    </row>
    <row r="16" spans="2:7" ht="24">
      <c r="B16" s="27">
        <v>12</v>
      </c>
      <c r="C16" s="7" t="s">
        <v>159</v>
      </c>
      <c r="D16" s="7" t="s">
        <v>148</v>
      </c>
      <c r="E16" s="12">
        <v>0.132</v>
      </c>
      <c r="F16" s="14">
        <v>178.03920000000002</v>
      </c>
      <c r="G16" s="32">
        <f t="shared" si="0"/>
        <v>23.501174400000004</v>
      </c>
    </row>
    <row r="17" spans="2:7" ht="24">
      <c r="B17" s="27">
        <v>13</v>
      </c>
      <c r="C17" s="7" t="s">
        <v>160</v>
      </c>
      <c r="D17" s="7" t="s">
        <v>148</v>
      </c>
      <c r="E17" s="12">
        <v>0.188</v>
      </c>
      <c r="F17" s="14">
        <v>205.2448</v>
      </c>
      <c r="G17" s="32">
        <f t="shared" si="0"/>
        <v>38.5860224</v>
      </c>
    </row>
    <row r="18" spans="2:7" ht="12">
      <c r="B18" s="27">
        <v>14</v>
      </c>
      <c r="C18" s="7" t="s">
        <v>161</v>
      </c>
      <c r="D18" s="7" t="s">
        <v>148</v>
      </c>
      <c r="E18" s="12">
        <v>0.75</v>
      </c>
      <c r="F18" s="14">
        <v>157.8644</v>
      </c>
      <c r="G18" s="32">
        <f t="shared" si="0"/>
        <v>118.39829999999999</v>
      </c>
    </row>
    <row r="19" spans="2:7" ht="12">
      <c r="B19" s="27">
        <v>15</v>
      </c>
      <c r="C19" s="7" t="s">
        <v>162</v>
      </c>
      <c r="D19" s="7" t="s">
        <v>148</v>
      </c>
      <c r="E19" s="12">
        <v>12.81</v>
      </c>
      <c r="F19" s="14">
        <v>178.03920000000002</v>
      </c>
      <c r="G19" s="32">
        <f t="shared" si="0"/>
        <v>2280.6821520000003</v>
      </c>
    </row>
    <row r="20" spans="2:7" ht="12">
      <c r="B20" s="27">
        <v>16</v>
      </c>
      <c r="C20" s="7" t="s">
        <v>163</v>
      </c>
      <c r="D20" s="7" t="s">
        <v>148</v>
      </c>
      <c r="E20" s="12">
        <v>0.75</v>
      </c>
      <c r="F20" s="14">
        <v>205.2448</v>
      </c>
      <c r="G20" s="32">
        <f t="shared" si="0"/>
        <v>153.9336</v>
      </c>
    </row>
    <row r="21" spans="2:7" ht="12">
      <c r="B21" s="27">
        <v>17</v>
      </c>
      <c r="C21" s="7" t="s">
        <v>164</v>
      </c>
      <c r="D21" s="7" t="s">
        <v>148</v>
      </c>
      <c r="E21" s="12">
        <v>189.672</v>
      </c>
      <c r="F21" s="14">
        <v>157.8644</v>
      </c>
      <c r="G21" s="32">
        <f t="shared" si="0"/>
        <v>29942.4564768</v>
      </c>
    </row>
    <row r="22" spans="2:7" ht="12">
      <c r="B22" s="27">
        <v>18</v>
      </c>
      <c r="C22" s="7" t="s">
        <v>165</v>
      </c>
      <c r="D22" s="7" t="s">
        <v>148</v>
      </c>
      <c r="E22" s="12">
        <v>6.71395238</v>
      </c>
      <c r="F22" s="14">
        <v>144.3546</v>
      </c>
      <c r="G22" s="32">
        <f t="shared" si="0"/>
        <v>969.1899102339481</v>
      </c>
    </row>
    <row r="23" spans="2:7" ht="12">
      <c r="B23" s="27">
        <v>19</v>
      </c>
      <c r="C23" s="7" t="s">
        <v>166</v>
      </c>
      <c r="D23" s="7" t="s">
        <v>148</v>
      </c>
      <c r="E23" s="12">
        <v>2.025</v>
      </c>
      <c r="F23" s="14">
        <v>157.8644</v>
      </c>
      <c r="G23" s="32">
        <f t="shared" si="0"/>
        <v>319.67540999999994</v>
      </c>
    </row>
    <row r="24" spans="2:7" ht="12">
      <c r="B24" s="27">
        <v>20</v>
      </c>
      <c r="C24" s="7" t="s">
        <v>167</v>
      </c>
      <c r="D24" s="7" t="s">
        <v>148</v>
      </c>
      <c r="E24" s="12">
        <v>99.68295238</v>
      </c>
      <c r="F24" s="14">
        <v>178.03920000000002</v>
      </c>
      <c r="G24" s="32">
        <f t="shared" si="0"/>
        <v>17747.473095373298</v>
      </c>
    </row>
    <row r="25" spans="2:7" ht="12">
      <c r="B25" s="27">
        <v>21</v>
      </c>
      <c r="C25" s="7" t="s">
        <v>168</v>
      </c>
      <c r="D25" s="7" t="s">
        <v>148</v>
      </c>
      <c r="E25" s="12">
        <v>27.2</v>
      </c>
      <c r="F25" s="14">
        <v>178.03920000000002</v>
      </c>
      <c r="G25" s="32">
        <f t="shared" si="0"/>
        <v>4842.6662400000005</v>
      </c>
    </row>
    <row r="26" spans="2:7" ht="12">
      <c r="B26" s="27">
        <v>22</v>
      </c>
      <c r="C26" s="7" t="s">
        <v>169</v>
      </c>
      <c r="D26" s="7" t="s">
        <v>148</v>
      </c>
      <c r="E26" s="12">
        <v>39.78</v>
      </c>
      <c r="F26" s="14">
        <v>205.2448</v>
      </c>
      <c r="G26" s="32">
        <f t="shared" si="0"/>
        <v>8164.6381440000005</v>
      </c>
    </row>
    <row r="27" spans="2:7" ht="12">
      <c r="B27" s="27">
        <v>23</v>
      </c>
      <c r="C27" s="7" t="s">
        <v>170</v>
      </c>
      <c r="D27" s="7" t="s">
        <v>148</v>
      </c>
      <c r="E27" s="12">
        <v>4.8</v>
      </c>
      <c r="F27" s="14">
        <v>178.03920000000002</v>
      </c>
      <c r="G27" s="32">
        <f t="shared" si="0"/>
        <v>854.5881600000001</v>
      </c>
    </row>
    <row r="28" spans="2:7" ht="24">
      <c r="B28" s="27">
        <v>24</v>
      </c>
      <c r="C28" s="7" t="s">
        <v>171</v>
      </c>
      <c r="D28" s="7" t="s">
        <v>172</v>
      </c>
      <c r="E28" s="12">
        <v>28.512</v>
      </c>
      <c r="F28" s="14">
        <v>205.2448</v>
      </c>
      <c r="G28" s="32">
        <f t="shared" si="0"/>
        <v>5851.9397376</v>
      </c>
    </row>
    <row r="29" spans="2:7" ht="12">
      <c r="B29" s="27">
        <v>25</v>
      </c>
      <c r="C29" s="7" t="s">
        <v>173</v>
      </c>
      <c r="D29" s="7" t="s">
        <v>148</v>
      </c>
      <c r="E29" s="12">
        <v>1.87</v>
      </c>
      <c r="F29" s="14">
        <v>178.03920000000002</v>
      </c>
      <c r="G29" s="32">
        <f t="shared" si="0"/>
        <v>332.9333040000001</v>
      </c>
    </row>
    <row r="30" spans="2:7" ht="12">
      <c r="B30" s="27">
        <v>26</v>
      </c>
      <c r="C30" s="7" t="s">
        <v>174</v>
      </c>
      <c r="D30" s="7" t="s">
        <v>148</v>
      </c>
      <c r="E30" s="12">
        <v>17.68</v>
      </c>
      <c r="F30" s="14">
        <v>205.2448</v>
      </c>
      <c r="G30" s="32">
        <f t="shared" si="0"/>
        <v>3628.728064</v>
      </c>
    </row>
    <row r="31" spans="2:7" ht="24">
      <c r="B31" s="27">
        <v>27</v>
      </c>
      <c r="C31" s="7" t="s">
        <v>175</v>
      </c>
      <c r="D31" s="7" t="s">
        <v>148</v>
      </c>
      <c r="E31" s="12">
        <v>90.472</v>
      </c>
      <c r="F31" s="14">
        <v>178.03920000000002</v>
      </c>
      <c r="G31" s="32">
        <f t="shared" si="0"/>
        <v>16107.5625024</v>
      </c>
    </row>
    <row r="32" spans="2:7" ht="12">
      <c r="B32" s="52" t="s">
        <v>176</v>
      </c>
      <c r="C32" s="53"/>
      <c r="D32" s="53"/>
      <c r="E32" s="53"/>
      <c r="F32" s="54"/>
      <c r="G32" s="33">
        <f>SUM(G5:G31)</f>
        <v>1138917.845318143</v>
      </c>
    </row>
    <row r="33" spans="2:7" ht="16.5">
      <c r="B33" s="51" t="s">
        <v>177</v>
      </c>
      <c r="C33" s="51"/>
      <c r="D33" s="51"/>
      <c r="E33" s="51"/>
      <c r="F33" s="51"/>
      <c r="G33" s="51"/>
    </row>
    <row r="34" spans="2:7" ht="24">
      <c r="B34" s="26">
        <v>28</v>
      </c>
      <c r="C34" s="28" t="s">
        <v>178</v>
      </c>
      <c r="D34" s="28" t="s">
        <v>179</v>
      </c>
      <c r="E34" s="29">
        <v>0.88</v>
      </c>
      <c r="F34" s="30">
        <v>94.04639999999999</v>
      </c>
      <c r="G34" s="31">
        <f aca="true" t="shared" si="1" ref="G34:G65">E34*F34</f>
        <v>82.760832</v>
      </c>
    </row>
    <row r="35" spans="2:7" ht="24">
      <c r="B35" s="27">
        <v>29</v>
      </c>
      <c r="C35" s="7" t="s">
        <v>180</v>
      </c>
      <c r="D35" s="7" t="s">
        <v>179</v>
      </c>
      <c r="E35" s="12">
        <v>1.32</v>
      </c>
      <c r="F35" s="14">
        <v>109.4436</v>
      </c>
      <c r="G35" s="32">
        <f t="shared" si="1"/>
        <v>144.465552</v>
      </c>
    </row>
    <row r="36" spans="2:7" ht="24">
      <c r="B36" s="27">
        <v>30</v>
      </c>
      <c r="C36" s="7" t="s">
        <v>181</v>
      </c>
      <c r="D36" s="7" t="s">
        <v>179</v>
      </c>
      <c r="E36" s="12">
        <v>1.32</v>
      </c>
      <c r="F36" s="14">
        <v>101.82060000000001</v>
      </c>
      <c r="G36" s="32">
        <f t="shared" si="1"/>
        <v>134.40319200000002</v>
      </c>
    </row>
    <row r="37" spans="2:7" ht="12">
      <c r="B37" s="27">
        <v>31</v>
      </c>
      <c r="C37" s="7" t="s">
        <v>182</v>
      </c>
      <c r="D37" s="7" t="s">
        <v>183</v>
      </c>
      <c r="E37" s="12">
        <v>0.001728</v>
      </c>
      <c r="F37" s="14">
        <v>0</v>
      </c>
      <c r="G37" s="32">
        <f t="shared" si="1"/>
        <v>0</v>
      </c>
    </row>
    <row r="38" spans="2:7" ht="12">
      <c r="B38" s="27">
        <v>32</v>
      </c>
      <c r="C38" s="7" t="s">
        <v>184</v>
      </c>
      <c r="D38" s="7" t="s">
        <v>179</v>
      </c>
      <c r="E38" s="12">
        <v>0.1</v>
      </c>
      <c r="F38" s="14">
        <v>53124.119999999995</v>
      </c>
      <c r="G38" s="32">
        <f t="shared" si="1"/>
        <v>5312.412</v>
      </c>
    </row>
    <row r="39" spans="2:7" ht="12">
      <c r="B39" s="27">
        <v>33</v>
      </c>
      <c r="C39" s="7" t="s">
        <v>185</v>
      </c>
      <c r="D39" s="7" t="s">
        <v>183</v>
      </c>
      <c r="E39" s="12">
        <v>0.0002</v>
      </c>
      <c r="F39" s="14">
        <v>113498.9856</v>
      </c>
      <c r="G39" s="32">
        <f t="shared" si="1"/>
        <v>22.69979712</v>
      </c>
    </row>
    <row r="40" spans="2:7" ht="12">
      <c r="B40" s="27">
        <v>34</v>
      </c>
      <c r="C40" s="7" t="s">
        <v>186</v>
      </c>
      <c r="D40" s="7" t="s">
        <v>187</v>
      </c>
      <c r="E40" s="12">
        <v>1.054</v>
      </c>
      <c r="F40" s="14">
        <v>151.5402</v>
      </c>
      <c r="G40" s="32">
        <f t="shared" si="1"/>
        <v>159.7233708</v>
      </c>
    </row>
    <row r="41" spans="2:7" ht="24">
      <c r="B41" s="27">
        <v>35</v>
      </c>
      <c r="C41" s="7" t="s">
        <v>188</v>
      </c>
      <c r="D41" s="7" t="s">
        <v>179</v>
      </c>
      <c r="E41" s="12">
        <v>6</v>
      </c>
      <c r="F41" s="14">
        <v>189.819</v>
      </c>
      <c r="G41" s="32">
        <f t="shared" si="1"/>
        <v>1138.914</v>
      </c>
    </row>
    <row r="42" spans="2:7" ht="12">
      <c r="B42" s="27">
        <v>36</v>
      </c>
      <c r="C42" s="7" t="s">
        <v>189</v>
      </c>
      <c r="D42" s="7" t="s">
        <v>179</v>
      </c>
      <c r="E42" s="12">
        <v>5</v>
      </c>
      <c r="F42" s="14">
        <v>196.4466</v>
      </c>
      <c r="G42" s="32">
        <f t="shared" si="1"/>
        <v>982.233</v>
      </c>
    </row>
    <row r="43" spans="2:7" ht="12">
      <c r="B43" s="27">
        <v>37</v>
      </c>
      <c r="C43" s="7" t="s">
        <v>190</v>
      </c>
      <c r="D43" s="7" t="s">
        <v>187</v>
      </c>
      <c r="E43" s="12">
        <v>18.492</v>
      </c>
      <c r="F43" s="14">
        <v>34.4358</v>
      </c>
      <c r="G43" s="32">
        <f t="shared" si="1"/>
        <v>636.7868136000001</v>
      </c>
    </row>
    <row r="44" spans="2:7" ht="12">
      <c r="B44" s="27">
        <v>38</v>
      </c>
      <c r="C44" s="7" t="s">
        <v>191</v>
      </c>
      <c r="D44" s="7" t="s">
        <v>183</v>
      </c>
      <c r="E44" s="12">
        <v>0.00425</v>
      </c>
      <c r="F44" s="14">
        <v>122726.7216</v>
      </c>
      <c r="G44" s="32">
        <f t="shared" si="1"/>
        <v>521.5885668000001</v>
      </c>
    </row>
    <row r="45" spans="2:7" ht="12">
      <c r="B45" s="27">
        <v>39</v>
      </c>
      <c r="C45" s="7" t="s">
        <v>192</v>
      </c>
      <c r="D45" s="7" t="s">
        <v>193</v>
      </c>
      <c r="E45" s="12">
        <v>2985.57938</v>
      </c>
      <c r="F45" s="14">
        <v>0</v>
      </c>
      <c r="G45" s="32">
        <f t="shared" si="1"/>
        <v>0</v>
      </c>
    </row>
    <row r="46" spans="2:7" ht="12">
      <c r="B46" s="27">
        <v>40</v>
      </c>
      <c r="C46" s="7" t="s">
        <v>194</v>
      </c>
      <c r="D46" s="7" t="s">
        <v>179</v>
      </c>
      <c r="E46" s="12">
        <v>0.4</v>
      </c>
      <c r="F46" s="14">
        <v>15974.494200000001</v>
      </c>
      <c r="G46" s="32">
        <f t="shared" si="1"/>
        <v>6389.797680000001</v>
      </c>
    </row>
    <row r="47" spans="2:7" ht="12">
      <c r="B47" s="27">
        <v>41</v>
      </c>
      <c r="C47" s="7" t="s">
        <v>195</v>
      </c>
      <c r="D47" s="7" t="s">
        <v>179</v>
      </c>
      <c r="E47" s="12">
        <v>0.5</v>
      </c>
      <c r="F47" s="14">
        <v>1347.8346</v>
      </c>
      <c r="G47" s="32">
        <f t="shared" si="1"/>
        <v>673.9173</v>
      </c>
    </row>
    <row r="48" spans="2:7" ht="12">
      <c r="B48" s="27">
        <v>42</v>
      </c>
      <c r="C48" s="7" t="s">
        <v>196</v>
      </c>
      <c r="D48" s="7" t="s">
        <v>179</v>
      </c>
      <c r="E48" s="12">
        <v>0.2</v>
      </c>
      <c r="F48" s="14">
        <v>3160.2438</v>
      </c>
      <c r="G48" s="32">
        <f t="shared" si="1"/>
        <v>632.0487600000001</v>
      </c>
    </row>
    <row r="49" spans="2:7" ht="12">
      <c r="B49" s="27">
        <v>43</v>
      </c>
      <c r="C49" s="7" t="s">
        <v>197</v>
      </c>
      <c r="D49" s="7" t="s">
        <v>179</v>
      </c>
      <c r="E49" s="12">
        <v>0.7</v>
      </c>
      <c r="F49" s="14">
        <v>623.5110000000001</v>
      </c>
      <c r="G49" s="32">
        <f t="shared" si="1"/>
        <v>436.45770000000005</v>
      </c>
    </row>
    <row r="50" spans="2:7" ht="12">
      <c r="B50" s="27">
        <v>44</v>
      </c>
      <c r="C50" s="7" t="s">
        <v>198</v>
      </c>
      <c r="D50" s="7" t="s">
        <v>179</v>
      </c>
      <c r="E50" s="12">
        <v>1</v>
      </c>
      <c r="F50" s="14">
        <v>4577.4666</v>
      </c>
      <c r="G50" s="32">
        <f t="shared" si="1"/>
        <v>4577.4666</v>
      </c>
    </row>
    <row r="51" spans="2:7" ht="12">
      <c r="B51" s="27">
        <v>45</v>
      </c>
      <c r="C51" s="7" t="s">
        <v>199</v>
      </c>
      <c r="D51" s="7" t="s">
        <v>179</v>
      </c>
      <c r="E51" s="12">
        <v>0.1</v>
      </c>
      <c r="F51" s="14">
        <v>957.5999999999999</v>
      </c>
      <c r="G51" s="32">
        <f t="shared" si="1"/>
        <v>95.75999999999999</v>
      </c>
    </row>
    <row r="52" spans="2:7" ht="12">
      <c r="B52" s="27">
        <v>46</v>
      </c>
      <c r="C52" s="7" t="s">
        <v>200</v>
      </c>
      <c r="D52" s="7" t="s">
        <v>179</v>
      </c>
      <c r="E52" s="12">
        <v>0.9</v>
      </c>
      <c r="F52" s="14">
        <v>2048.5206</v>
      </c>
      <c r="G52" s="32">
        <f t="shared" si="1"/>
        <v>1843.66854</v>
      </c>
    </row>
    <row r="53" spans="2:7" ht="12">
      <c r="B53" s="27">
        <v>47</v>
      </c>
      <c r="C53" s="7" t="s">
        <v>201</v>
      </c>
      <c r="D53" s="7" t="s">
        <v>187</v>
      </c>
      <c r="E53" s="12">
        <v>0.0001</v>
      </c>
      <c r="F53" s="14">
        <v>61.57619999999999</v>
      </c>
      <c r="G53" s="32">
        <f t="shared" si="1"/>
        <v>0.00615762</v>
      </c>
    </row>
    <row r="54" spans="2:7" ht="12">
      <c r="B54" s="27">
        <v>48</v>
      </c>
      <c r="C54" s="7" t="s">
        <v>202</v>
      </c>
      <c r="D54" s="7" t="s">
        <v>183</v>
      </c>
      <c r="E54" s="12">
        <v>0.03848</v>
      </c>
      <c r="F54" s="14">
        <v>74175.0408</v>
      </c>
      <c r="G54" s="32">
        <f t="shared" si="1"/>
        <v>2854.255569984</v>
      </c>
    </row>
    <row r="55" spans="2:7" ht="12">
      <c r="B55" s="27">
        <v>49</v>
      </c>
      <c r="C55" s="7" t="s">
        <v>203</v>
      </c>
      <c r="D55" s="7" t="s">
        <v>179</v>
      </c>
      <c r="E55" s="12">
        <v>1</v>
      </c>
      <c r="F55" s="14">
        <v>896.4522000000001</v>
      </c>
      <c r="G55" s="32">
        <f t="shared" si="1"/>
        <v>896.4522000000001</v>
      </c>
    </row>
    <row r="56" spans="2:7" ht="12">
      <c r="B56" s="27">
        <v>50</v>
      </c>
      <c r="C56" s="7" t="s">
        <v>204</v>
      </c>
      <c r="D56" s="7" t="s">
        <v>183</v>
      </c>
      <c r="E56" s="12">
        <v>7E-05</v>
      </c>
      <c r="F56" s="14">
        <v>68290.4124</v>
      </c>
      <c r="G56" s="32">
        <f t="shared" si="1"/>
        <v>4.780328868</v>
      </c>
    </row>
    <row r="57" spans="2:7" ht="12">
      <c r="B57" s="27">
        <v>51</v>
      </c>
      <c r="C57" s="7" t="s">
        <v>205</v>
      </c>
      <c r="D57" s="7" t="s">
        <v>183</v>
      </c>
      <c r="E57" s="12">
        <v>0.0002</v>
      </c>
      <c r="F57" s="14">
        <v>122430.01679999998</v>
      </c>
      <c r="G57" s="32">
        <f t="shared" si="1"/>
        <v>24.486003359999998</v>
      </c>
    </row>
    <row r="58" spans="2:7" ht="24">
      <c r="B58" s="27">
        <v>52</v>
      </c>
      <c r="C58" s="7" t="s">
        <v>206</v>
      </c>
      <c r="D58" s="7" t="s">
        <v>183</v>
      </c>
      <c r="E58" s="12">
        <v>0.00584</v>
      </c>
      <c r="F58" s="14">
        <v>88432.785</v>
      </c>
      <c r="G58" s="32">
        <f t="shared" si="1"/>
        <v>516.4474644</v>
      </c>
    </row>
    <row r="59" spans="2:7" ht="12">
      <c r="B59" s="27">
        <v>53</v>
      </c>
      <c r="C59" s="7" t="s">
        <v>207</v>
      </c>
      <c r="D59" s="7" t="s">
        <v>187</v>
      </c>
      <c r="E59" s="12">
        <v>0.608</v>
      </c>
      <c r="F59" s="14">
        <v>118.251</v>
      </c>
      <c r="G59" s="32">
        <f t="shared" si="1"/>
        <v>71.896608</v>
      </c>
    </row>
    <row r="60" spans="2:7" ht="24">
      <c r="B60" s="27">
        <v>54</v>
      </c>
      <c r="C60" s="7" t="s">
        <v>208</v>
      </c>
      <c r="D60" s="7" t="s">
        <v>187</v>
      </c>
      <c r="E60" s="12">
        <v>0.816</v>
      </c>
      <c r="F60" s="14">
        <v>146.21040000000002</v>
      </c>
      <c r="G60" s="32">
        <f t="shared" si="1"/>
        <v>119.30768640000001</v>
      </c>
    </row>
    <row r="61" spans="2:7" ht="12">
      <c r="B61" s="27">
        <v>55</v>
      </c>
      <c r="C61" s="7" t="s">
        <v>209</v>
      </c>
      <c r="D61" s="7" t="s">
        <v>210</v>
      </c>
      <c r="E61" s="12">
        <v>0.5</v>
      </c>
      <c r="F61" s="14">
        <v>437.44680000000005</v>
      </c>
      <c r="G61" s="32">
        <f t="shared" si="1"/>
        <v>218.72340000000003</v>
      </c>
    </row>
    <row r="62" spans="2:7" ht="12">
      <c r="B62" s="27">
        <v>56</v>
      </c>
      <c r="C62" s="7" t="s">
        <v>211</v>
      </c>
      <c r="D62" s="7" t="s">
        <v>183</v>
      </c>
      <c r="E62" s="12">
        <v>3.6E-05</v>
      </c>
      <c r="F62" s="14">
        <v>84008.9502</v>
      </c>
      <c r="G62" s="32">
        <f t="shared" si="1"/>
        <v>3.0243222072000004</v>
      </c>
    </row>
    <row r="63" spans="2:7" ht="12">
      <c r="B63" s="27">
        <v>57</v>
      </c>
      <c r="C63" s="7" t="s">
        <v>212</v>
      </c>
      <c r="D63" s="7" t="s">
        <v>213</v>
      </c>
      <c r="E63" s="12">
        <v>0.066042</v>
      </c>
      <c r="F63" s="14">
        <v>4886.721</v>
      </c>
      <c r="G63" s="32">
        <f t="shared" si="1"/>
        <v>322.728828282</v>
      </c>
    </row>
    <row r="64" spans="2:7" ht="12">
      <c r="B64" s="27">
        <v>58</v>
      </c>
      <c r="C64" s="7" t="s">
        <v>214</v>
      </c>
      <c r="D64" s="7" t="s">
        <v>187</v>
      </c>
      <c r="E64" s="12">
        <v>347.0532</v>
      </c>
      <c r="F64" s="14">
        <v>422.01180000000005</v>
      </c>
      <c r="G64" s="32">
        <f t="shared" si="1"/>
        <v>146460.54562776003</v>
      </c>
    </row>
    <row r="65" spans="2:7" ht="12">
      <c r="B65" s="27">
        <v>59</v>
      </c>
      <c r="C65" s="7" t="s">
        <v>215</v>
      </c>
      <c r="D65" s="7" t="s">
        <v>187</v>
      </c>
      <c r="E65" s="12">
        <v>0.8856</v>
      </c>
      <c r="F65" s="14">
        <v>78.40979999999999</v>
      </c>
      <c r="G65" s="32">
        <f t="shared" si="1"/>
        <v>69.43971888</v>
      </c>
    </row>
    <row r="66" spans="2:7" ht="24">
      <c r="B66" s="27">
        <v>60</v>
      </c>
      <c r="C66" s="7" t="s">
        <v>216</v>
      </c>
      <c r="D66" s="7" t="s">
        <v>183</v>
      </c>
      <c r="E66" s="12">
        <v>6.8E-05</v>
      </c>
      <c r="F66" s="14">
        <v>446127.8472</v>
      </c>
      <c r="G66" s="32">
        <f aca="true" t="shared" si="2" ref="G66:G97">E66*F66</f>
        <v>30.3366936096</v>
      </c>
    </row>
    <row r="67" spans="2:7" ht="12">
      <c r="B67" s="27">
        <v>61</v>
      </c>
      <c r="C67" s="7" t="s">
        <v>217</v>
      </c>
      <c r="D67" s="7" t="s">
        <v>183</v>
      </c>
      <c r="E67" s="12">
        <v>0.0002</v>
      </c>
      <c r="F67" s="14">
        <v>67777.6806</v>
      </c>
      <c r="G67" s="32">
        <f t="shared" si="2"/>
        <v>13.555536120000003</v>
      </c>
    </row>
    <row r="68" spans="2:7" ht="12">
      <c r="B68" s="27">
        <v>62</v>
      </c>
      <c r="C68" s="7" t="s">
        <v>218</v>
      </c>
      <c r="D68" s="7" t="s">
        <v>183</v>
      </c>
      <c r="E68" s="12">
        <v>0.001035</v>
      </c>
      <c r="F68" s="14">
        <v>70882.8876</v>
      </c>
      <c r="G68" s="32">
        <f t="shared" si="2"/>
        <v>73.36378866599999</v>
      </c>
    </row>
    <row r="69" spans="2:7" ht="12">
      <c r="B69" s="27">
        <v>63</v>
      </c>
      <c r="C69" s="7" t="s">
        <v>219</v>
      </c>
      <c r="D69" s="7" t="s">
        <v>187</v>
      </c>
      <c r="E69" s="12">
        <v>0.0848</v>
      </c>
      <c r="F69" s="14">
        <v>243.30599999999998</v>
      </c>
      <c r="G69" s="32">
        <f t="shared" si="2"/>
        <v>20.6323488</v>
      </c>
    </row>
    <row r="70" spans="2:7" ht="12">
      <c r="B70" s="27">
        <v>64</v>
      </c>
      <c r="C70" s="7" t="s">
        <v>220</v>
      </c>
      <c r="D70" s="7" t="s">
        <v>187</v>
      </c>
      <c r="E70" s="12">
        <v>0.035</v>
      </c>
      <c r="F70" s="14">
        <v>145.0764</v>
      </c>
      <c r="G70" s="32">
        <f t="shared" si="2"/>
        <v>5.077674000000001</v>
      </c>
    </row>
    <row r="71" spans="2:7" ht="12">
      <c r="B71" s="27">
        <v>65</v>
      </c>
      <c r="C71" s="7" t="s">
        <v>221</v>
      </c>
      <c r="D71" s="7" t="s">
        <v>183</v>
      </c>
      <c r="E71" s="12">
        <v>0.00055</v>
      </c>
      <c r="F71" s="14">
        <v>263507.643</v>
      </c>
      <c r="G71" s="32">
        <f t="shared" si="2"/>
        <v>144.92920365</v>
      </c>
    </row>
    <row r="72" spans="2:7" ht="12">
      <c r="B72" s="27">
        <v>66</v>
      </c>
      <c r="C72" s="7" t="s">
        <v>222</v>
      </c>
      <c r="D72" s="7" t="s">
        <v>179</v>
      </c>
      <c r="E72" s="12">
        <v>0.2</v>
      </c>
      <c r="F72" s="14">
        <v>22680</v>
      </c>
      <c r="G72" s="32">
        <f t="shared" si="2"/>
        <v>4536</v>
      </c>
    </row>
    <row r="73" spans="2:7" ht="12">
      <c r="B73" s="27">
        <v>67</v>
      </c>
      <c r="C73" s="7" t="s">
        <v>223</v>
      </c>
      <c r="D73" s="7" t="s">
        <v>179</v>
      </c>
      <c r="E73" s="12">
        <v>1</v>
      </c>
      <c r="F73" s="14">
        <v>1814.3999999999999</v>
      </c>
      <c r="G73" s="32">
        <f t="shared" si="2"/>
        <v>1814.3999999999999</v>
      </c>
    </row>
    <row r="74" spans="2:7" ht="24">
      <c r="B74" s="27">
        <v>68</v>
      </c>
      <c r="C74" s="7" t="s">
        <v>224</v>
      </c>
      <c r="D74" s="7" t="s">
        <v>187</v>
      </c>
      <c r="E74" s="12">
        <v>7.25</v>
      </c>
      <c r="F74" s="14">
        <v>80.04780000000001</v>
      </c>
      <c r="G74" s="32">
        <f t="shared" si="2"/>
        <v>580.3465500000001</v>
      </c>
    </row>
    <row r="75" spans="2:7" ht="12">
      <c r="B75" s="27">
        <v>69</v>
      </c>
      <c r="C75" s="7" t="s">
        <v>225</v>
      </c>
      <c r="D75" s="7" t="s">
        <v>179</v>
      </c>
      <c r="E75" s="12">
        <v>0.2</v>
      </c>
      <c r="F75" s="14">
        <v>7915.698</v>
      </c>
      <c r="G75" s="32">
        <f t="shared" si="2"/>
        <v>1583.1396000000002</v>
      </c>
    </row>
    <row r="76" spans="2:7" ht="12">
      <c r="B76" s="27">
        <v>70</v>
      </c>
      <c r="C76" s="7" t="s">
        <v>226</v>
      </c>
      <c r="D76" s="7" t="s">
        <v>179</v>
      </c>
      <c r="E76" s="12">
        <v>0.2</v>
      </c>
      <c r="F76" s="14">
        <v>23058</v>
      </c>
      <c r="G76" s="32">
        <f t="shared" si="2"/>
        <v>4611.6</v>
      </c>
    </row>
    <row r="77" spans="2:7" ht="12">
      <c r="B77" s="27">
        <v>71</v>
      </c>
      <c r="C77" s="7" t="s">
        <v>227</v>
      </c>
      <c r="D77" s="7" t="s">
        <v>228</v>
      </c>
      <c r="E77" s="12">
        <v>0.0025</v>
      </c>
      <c r="F77" s="14">
        <v>7403.167799999999</v>
      </c>
      <c r="G77" s="32">
        <f t="shared" si="2"/>
        <v>18.5079195</v>
      </c>
    </row>
    <row r="78" spans="2:7" ht="12">
      <c r="B78" s="27">
        <v>72</v>
      </c>
      <c r="C78" s="7" t="s">
        <v>229</v>
      </c>
      <c r="D78" s="7" t="s">
        <v>187</v>
      </c>
      <c r="E78" s="12">
        <v>0.06</v>
      </c>
      <c r="F78" s="14">
        <v>189.51659999999998</v>
      </c>
      <c r="G78" s="32">
        <f t="shared" si="2"/>
        <v>11.370995999999998</v>
      </c>
    </row>
    <row r="79" spans="2:7" ht="12">
      <c r="B79" s="27">
        <v>73</v>
      </c>
      <c r="C79" s="7" t="s">
        <v>230</v>
      </c>
      <c r="D79" s="7" t="s">
        <v>179</v>
      </c>
      <c r="E79" s="12">
        <v>0.2</v>
      </c>
      <c r="F79" s="14">
        <v>262.9746</v>
      </c>
      <c r="G79" s="32">
        <f t="shared" si="2"/>
        <v>52.59492</v>
      </c>
    </row>
    <row r="80" spans="2:7" ht="12">
      <c r="B80" s="27">
        <v>74</v>
      </c>
      <c r="C80" s="7" t="s">
        <v>231</v>
      </c>
      <c r="D80" s="7" t="s">
        <v>179</v>
      </c>
      <c r="E80" s="12">
        <v>0.2</v>
      </c>
      <c r="F80" s="14">
        <v>20259.5904</v>
      </c>
      <c r="G80" s="32">
        <f t="shared" si="2"/>
        <v>4051.9180800000004</v>
      </c>
    </row>
    <row r="81" spans="2:7" ht="12">
      <c r="B81" s="27">
        <v>75</v>
      </c>
      <c r="C81" s="7" t="s">
        <v>232</v>
      </c>
      <c r="D81" s="7" t="s">
        <v>179</v>
      </c>
      <c r="E81" s="12">
        <v>0.1</v>
      </c>
      <c r="F81" s="14">
        <v>1633.7033999999999</v>
      </c>
      <c r="G81" s="32">
        <f t="shared" si="2"/>
        <v>163.37034</v>
      </c>
    </row>
    <row r="82" spans="2:7" ht="12">
      <c r="B82" s="27">
        <v>76</v>
      </c>
      <c r="C82" s="7" t="s">
        <v>233</v>
      </c>
      <c r="D82" s="7" t="s">
        <v>187</v>
      </c>
      <c r="E82" s="12">
        <v>0.244</v>
      </c>
      <c r="F82" s="14">
        <v>48.3966</v>
      </c>
      <c r="G82" s="32">
        <f t="shared" si="2"/>
        <v>11.8087704</v>
      </c>
    </row>
    <row r="83" spans="2:7" ht="12">
      <c r="B83" s="27">
        <v>77</v>
      </c>
      <c r="C83" s="7" t="s">
        <v>234</v>
      </c>
      <c r="D83" s="7" t="s">
        <v>183</v>
      </c>
      <c r="E83" s="12">
        <v>5E-05</v>
      </c>
      <c r="F83" s="14">
        <v>61918.8948</v>
      </c>
      <c r="G83" s="32">
        <f t="shared" si="2"/>
        <v>3.09594474</v>
      </c>
    </row>
    <row r="84" spans="2:7" ht="12">
      <c r="B84" s="27">
        <v>78</v>
      </c>
      <c r="C84" s="7" t="s">
        <v>235</v>
      </c>
      <c r="D84" s="7" t="s">
        <v>183</v>
      </c>
      <c r="E84" s="12">
        <v>7.04E-05</v>
      </c>
      <c r="F84" s="14">
        <v>167406.61140000002</v>
      </c>
      <c r="G84" s="32">
        <f t="shared" si="2"/>
        <v>11.785425442560003</v>
      </c>
    </row>
    <row r="85" spans="2:7" ht="12">
      <c r="B85" s="27">
        <v>79</v>
      </c>
      <c r="C85" s="7" t="s">
        <v>236</v>
      </c>
      <c r="D85" s="7" t="s">
        <v>179</v>
      </c>
      <c r="E85" s="12">
        <v>0.1</v>
      </c>
      <c r="F85" s="14">
        <v>12025.792800000001</v>
      </c>
      <c r="G85" s="32">
        <f t="shared" si="2"/>
        <v>1202.5792800000002</v>
      </c>
    </row>
    <row r="86" spans="2:7" ht="24">
      <c r="B86" s="27">
        <v>80</v>
      </c>
      <c r="C86" s="7" t="s">
        <v>237</v>
      </c>
      <c r="D86" s="7" t="s">
        <v>210</v>
      </c>
      <c r="E86" s="12">
        <v>0.5</v>
      </c>
      <c r="F86" s="14">
        <v>1175.076</v>
      </c>
      <c r="G86" s="32">
        <f t="shared" si="2"/>
        <v>587.538</v>
      </c>
    </row>
    <row r="87" spans="2:7" ht="12">
      <c r="B87" s="27">
        <v>81</v>
      </c>
      <c r="C87" s="7" t="s">
        <v>238</v>
      </c>
      <c r="D87" s="7" t="s">
        <v>179</v>
      </c>
      <c r="E87" s="12">
        <v>0.2</v>
      </c>
      <c r="F87" s="14">
        <v>2646.8315999999995</v>
      </c>
      <c r="G87" s="32">
        <f t="shared" si="2"/>
        <v>529.36632</v>
      </c>
    </row>
    <row r="88" spans="2:7" ht="12">
      <c r="B88" s="27">
        <v>82</v>
      </c>
      <c r="C88" s="7" t="s">
        <v>239</v>
      </c>
      <c r="D88" s="7" t="s">
        <v>240</v>
      </c>
      <c r="E88" s="12">
        <v>81.8547</v>
      </c>
      <c r="F88" s="14">
        <v>582.687</v>
      </c>
      <c r="G88" s="32">
        <f t="shared" si="2"/>
        <v>47695.6695789</v>
      </c>
    </row>
    <row r="89" spans="2:7" ht="12">
      <c r="B89" s="27">
        <v>83</v>
      </c>
      <c r="C89" s="7" t="s">
        <v>241</v>
      </c>
      <c r="D89" s="7" t="s">
        <v>242</v>
      </c>
      <c r="E89" s="12">
        <v>2.2</v>
      </c>
      <c r="F89" s="14">
        <v>94.0086</v>
      </c>
      <c r="G89" s="32">
        <f t="shared" si="2"/>
        <v>206.81892000000002</v>
      </c>
    </row>
    <row r="90" spans="2:7" ht="36">
      <c r="B90" s="27">
        <v>84</v>
      </c>
      <c r="C90" s="7" t="s">
        <v>243</v>
      </c>
      <c r="D90" s="7" t="s">
        <v>244</v>
      </c>
      <c r="E90" s="12">
        <v>6</v>
      </c>
      <c r="F90" s="14">
        <v>96.6798</v>
      </c>
      <c r="G90" s="32">
        <f t="shared" si="2"/>
        <v>580.0788</v>
      </c>
    </row>
    <row r="91" spans="2:7" ht="36">
      <c r="B91" s="27">
        <v>85</v>
      </c>
      <c r="C91" s="7" t="s">
        <v>245</v>
      </c>
      <c r="D91" s="7" t="s">
        <v>244</v>
      </c>
      <c r="E91" s="12">
        <v>4</v>
      </c>
      <c r="F91" s="14">
        <v>70.3332</v>
      </c>
      <c r="G91" s="32">
        <f t="shared" si="2"/>
        <v>281.3328</v>
      </c>
    </row>
    <row r="92" spans="2:7" ht="36">
      <c r="B92" s="27">
        <v>86</v>
      </c>
      <c r="C92" s="7" t="s">
        <v>246</v>
      </c>
      <c r="D92" s="7" t="s">
        <v>244</v>
      </c>
      <c r="E92" s="12">
        <v>6</v>
      </c>
      <c r="F92" s="14">
        <v>91.65239999999999</v>
      </c>
      <c r="G92" s="32">
        <f t="shared" si="2"/>
        <v>549.9143999999999</v>
      </c>
    </row>
    <row r="93" spans="2:7" ht="12">
      <c r="B93" s="27">
        <v>87</v>
      </c>
      <c r="C93" s="7" t="s">
        <v>247</v>
      </c>
      <c r="D93" s="7" t="s">
        <v>179</v>
      </c>
      <c r="E93" s="12">
        <v>0.1</v>
      </c>
      <c r="F93" s="14">
        <v>3148.8912</v>
      </c>
      <c r="G93" s="32">
        <f t="shared" si="2"/>
        <v>314.88912000000005</v>
      </c>
    </row>
    <row r="94" spans="2:7" ht="12">
      <c r="B94" s="27">
        <v>88</v>
      </c>
      <c r="C94" s="7" t="s">
        <v>248</v>
      </c>
      <c r="D94" s="7" t="s">
        <v>179</v>
      </c>
      <c r="E94" s="12">
        <v>0.8</v>
      </c>
      <c r="F94" s="14">
        <v>446.3676</v>
      </c>
      <c r="G94" s="32">
        <f t="shared" si="2"/>
        <v>357.09408</v>
      </c>
    </row>
    <row r="95" spans="2:7" ht="12">
      <c r="B95" s="27">
        <v>89</v>
      </c>
      <c r="C95" s="7" t="s">
        <v>249</v>
      </c>
      <c r="D95" s="7" t="s">
        <v>242</v>
      </c>
      <c r="E95" s="12">
        <v>0.01785</v>
      </c>
      <c r="F95" s="14">
        <v>427.99680000000006</v>
      </c>
      <c r="G95" s="32">
        <f t="shared" si="2"/>
        <v>7.639742880000002</v>
      </c>
    </row>
    <row r="96" spans="2:7" ht="12">
      <c r="B96" s="27">
        <v>90</v>
      </c>
      <c r="C96" s="7" t="s">
        <v>250</v>
      </c>
      <c r="D96" s="7" t="s">
        <v>183</v>
      </c>
      <c r="E96" s="12">
        <v>5E-05</v>
      </c>
      <c r="F96" s="14">
        <v>533142.54</v>
      </c>
      <c r="G96" s="32">
        <f t="shared" si="2"/>
        <v>26.657127000000003</v>
      </c>
    </row>
    <row r="97" spans="2:7" ht="12">
      <c r="B97" s="27">
        <v>91</v>
      </c>
      <c r="C97" s="7" t="s">
        <v>251</v>
      </c>
      <c r="D97" s="7" t="s">
        <v>183</v>
      </c>
      <c r="E97" s="12">
        <v>0.00044</v>
      </c>
      <c r="F97" s="14">
        <v>30663.4356</v>
      </c>
      <c r="G97" s="32">
        <f t="shared" si="2"/>
        <v>13.491911664000002</v>
      </c>
    </row>
    <row r="98" spans="2:7" ht="12">
      <c r="B98" s="27">
        <v>92</v>
      </c>
      <c r="C98" s="7" t="s">
        <v>252</v>
      </c>
      <c r="D98" s="7" t="s">
        <v>179</v>
      </c>
      <c r="E98" s="12">
        <v>17</v>
      </c>
      <c r="F98" s="14">
        <v>3733.4178</v>
      </c>
      <c r="G98" s="32">
        <f>E98*F98</f>
        <v>63468.102600000006</v>
      </c>
    </row>
    <row r="99" spans="2:7" ht="12">
      <c r="B99" s="27">
        <v>93</v>
      </c>
      <c r="C99" s="7" t="s">
        <v>253</v>
      </c>
      <c r="D99" s="7" t="s">
        <v>183</v>
      </c>
      <c r="E99" s="12">
        <v>0.0004</v>
      </c>
      <c r="F99" s="14">
        <v>100717.41960000001</v>
      </c>
      <c r="G99" s="32">
        <f>E99*F99</f>
        <v>40.28696784</v>
      </c>
    </row>
    <row r="100" spans="2:7" ht="12">
      <c r="B100" s="52" t="s">
        <v>176</v>
      </c>
      <c r="C100" s="53"/>
      <c r="D100" s="53"/>
      <c r="E100" s="53"/>
      <c r="F100" s="54"/>
      <c r="G100" s="33">
        <f>SUM(G34:G99)</f>
        <v>308946.4910592934</v>
      </c>
    </row>
    <row r="101" spans="2:7" ht="16.5">
      <c r="B101" s="51" t="s">
        <v>254</v>
      </c>
      <c r="C101" s="51"/>
      <c r="D101" s="51"/>
      <c r="E101" s="51"/>
      <c r="F101" s="51"/>
      <c r="G101" s="51"/>
    </row>
    <row r="102" spans="2:7" ht="12">
      <c r="B102" s="26">
        <v>94</v>
      </c>
      <c r="C102" s="28" t="s">
        <v>255</v>
      </c>
      <c r="D102" s="28" t="s">
        <v>179</v>
      </c>
      <c r="E102" s="29">
        <v>3.25482612</v>
      </c>
      <c r="F102" s="30">
        <v>152.208</v>
      </c>
      <c r="G102" s="31">
        <f aca="true" t="shared" si="3" ref="G102:G113">E102*F102</f>
        <v>495.41057407296</v>
      </c>
    </row>
    <row r="103" spans="2:7" ht="12">
      <c r="B103" s="27">
        <v>95</v>
      </c>
      <c r="C103" s="7" t="s">
        <v>256</v>
      </c>
      <c r="D103" s="7" t="s">
        <v>179</v>
      </c>
      <c r="E103" s="12">
        <v>24.65343772</v>
      </c>
      <c r="F103" s="14">
        <v>104.58</v>
      </c>
      <c r="G103" s="32">
        <f t="shared" si="3"/>
        <v>2578.2565167576</v>
      </c>
    </row>
    <row r="104" spans="2:7" ht="12">
      <c r="B104" s="27">
        <v>96</v>
      </c>
      <c r="C104" s="7" t="s">
        <v>257</v>
      </c>
      <c r="D104" s="7" t="s">
        <v>179</v>
      </c>
      <c r="E104" s="12">
        <v>0.0024</v>
      </c>
      <c r="F104" s="14">
        <v>133.56</v>
      </c>
      <c r="G104" s="32">
        <f t="shared" si="3"/>
        <v>0.320544</v>
      </c>
    </row>
    <row r="105" spans="2:7" ht="12">
      <c r="B105" s="27">
        <v>97</v>
      </c>
      <c r="C105" s="7" t="s">
        <v>258</v>
      </c>
      <c r="D105" s="7" t="s">
        <v>179</v>
      </c>
      <c r="E105" s="12">
        <v>0.420968</v>
      </c>
      <c r="F105" s="14">
        <v>150.192</v>
      </c>
      <c r="G105" s="32">
        <f t="shared" si="3"/>
        <v>63.22602585600001</v>
      </c>
    </row>
    <row r="106" spans="2:7" ht="12">
      <c r="B106" s="27">
        <v>98</v>
      </c>
      <c r="C106" s="7" t="s">
        <v>259</v>
      </c>
      <c r="D106" s="7" t="s">
        <v>179</v>
      </c>
      <c r="E106" s="12">
        <v>0.0144</v>
      </c>
      <c r="F106" s="14">
        <v>179.424</v>
      </c>
      <c r="G106" s="32">
        <f t="shared" si="3"/>
        <v>2.5837056</v>
      </c>
    </row>
    <row r="107" spans="2:7" ht="12">
      <c r="B107" s="27">
        <v>99</v>
      </c>
      <c r="C107" s="7" t="s">
        <v>260</v>
      </c>
      <c r="D107" s="7" t="s">
        <v>179</v>
      </c>
      <c r="E107" s="12">
        <v>8.174098</v>
      </c>
      <c r="F107" s="14">
        <v>82.65599999999999</v>
      </c>
      <c r="G107" s="32">
        <f t="shared" si="3"/>
        <v>675.638244288</v>
      </c>
    </row>
    <row r="108" spans="2:7" ht="12">
      <c r="B108" s="27">
        <v>100</v>
      </c>
      <c r="C108" s="7" t="s">
        <v>261</v>
      </c>
      <c r="D108" s="7" t="s">
        <v>179</v>
      </c>
      <c r="E108" s="12">
        <v>0.021026</v>
      </c>
      <c r="F108" s="14">
        <v>140.112</v>
      </c>
      <c r="G108" s="32">
        <f t="shared" si="3"/>
        <v>2.9459949119999997</v>
      </c>
    </row>
    <row r="109" spans="2:7" ht="12">
      <c r="B109" s="27">
        <v>101</v>
      </c>
      <c r="C109" s="7" t="s">
        <v>262</v>
      </c>
      <c r="D109" s="7" t="s">
        <v>179</v>
      </c>
      <c r="E109" s="12">
        <v>1.06614196</v>
      </c>
      <c r="F109" s="14">
        <v>99.79200000000002</v>
      </c>
      <c r="G109" s="32">
        <f t="shared" si="3"/>
        <v>106.39243847232001</v>
      </c>
    </row>
    <row r="110" spans="2:7" ht="12">
      <c r="B110" s="27">
        <v>102</v>
      </c>
      <c r="C110" s="7" t="s">
        <v>263</v>
      </c>
      <c r="D110" s="7" t="s">
        <v>179</v>
      </c>
      <c r="E110" s="12">
        <v>0.072</v>
      </c>
      <c r="F110" s="14">
        <v>2670.1919999999996</v>
      </c>
      <c r="G110" s="32">
        <f t="shared" si="3"/>
        <v>192.25382399999995</v>
      </c>
    </row>
    <row r="111" spans="2:7" ht="12">
      <c r="B111" s="27">
        <v>103</v>
      </c>
      <c r="C111" s="7" t="s">
        <v>264</v>
      </c>
      <c r="D111" s="7" t="s">
        <v>179</v>
      </c>
      <c r="E111" s="12">
        <v>3.76208838</v>
      </c>
      <c r="F111" s="14">
        <v>69.552</v>
      </c>
      <c r="G111" s="32">
        <f t="shared" si="3"/>
        <v>261.66077100576</v>
      </c>
    </row>
    <row r="112" spans="2:7" ht="12">
      <c r="B112" s="27">
        <v>104</v>
      </c>
      <c r="C112" s="7" t="s">
        <v>265</v>
      </c>
      <c r="D112" s="7" t="s">
        <v>179</v>
      </c>
      <c r="E112" s="12">
        <v>0.02548</v>
      </c>
      <c r="F112" s="14">
        <v>554.4</v>
      </c>
      <c r="G112" s="32">
        <f t="shared" si="3"/>
        <v>14.126112</v>
      </c>
    </row>
    <row r="113" spans="2:7" ht="12">
      <c r="B113" s="27">
        <v>105</v>
      </c>
      <c r="C113" s="7" t="s">
        <v>266</v>
      </c>
      <c r="D113" s="7" t="s">
        <v>179</v>
      </c>
      <c r="E113" s="12">
        <v>3.76058574</v>
      </c>
      <c r="F113" s="14">
        <v>146.16</v>
      </c>
      <c r="G113" s="32">
        <f t="shared" si="3"/>
        <v>549.6472117584</v>
      </c>
    </row>
    <row r="114" spans="2:7" ht="12">
      <c r="B114" s="52" t="s">
        <v>176</v>
      </c>
      <c r="C114" s="53"/>
      <c r="D114" s="53"/>
      <c r="E114" s="53"/>
      <c r="F114" s="54"/>
      <c r="G114" s="33">
        <f>SUM(G102:G113)</f>
        <v>4942.4619627230395</v>
      </c>
    </row>
    <row r="115" spans="2:7" ht="16.5">
      <c r="B115" s="51" t="s">
        <v>267</v>
      </c>
      <c r="C115" s="51"/>
      <c r="D115" s="51"/>
      <c r="E115" s="51"/>
      <c r="F115" s="51"/>
      <c r="G115" s="51"/>
    </row>
    <row r="116" spans="2:7" ht="12">
      <c r="B116" s="26">
        <v>106</v>
      </c>
      <c r="C116" s="28" t="s">
        <v>268</v>
      </c>
      <c r="D116" s="28" t="s">
        <v>269</v>
      </c>
      <c r="E116" s="29">
        <v>1.62</v>
      </c>
      <c r="F116" s="30">
        <v>72.94399999999999</v>
      </c>
      <c r="G116" s="31">
        <f>E116*F116</f>
        <v>118.16927999999999</v>
      </c>
    </row>
    <row r="117" spans="2:7" ht="12">
      <c r="B117" s="27">
        <v>107</v>
      </c>
      <c r="C117" s="7" t="s">
        <v>270</v>
      </c>
      <c r="D117" s="7" t="s">
        <v>269</v>
      </c>
      <c r="E117" s="12">
        <v>2.8224</v>
      </c>
      <c r="F117" s="14">
        <v>1026.8277999999998</v>
      </c>
      <c r="G117" s="32">
        <f>E117*F117</f>
        <v>2898.1187827199997</v>
      </c>
    </row>
    <row r="118" spans="2:7" ht="12">
      <c r="B118" s="27">
        <v>108</v>
      </c>
      <c r="C118" s="7" t="s">
        <v>271</v>
      </c>
      <c r="D118" s="7" t="s">
        <v>269</v>
      </c>
      <c r="E118" s="12">
        <v>9.8496</v>
      </c>
      <c r="F118" s="14">
        <v>689.1515999999999</v>
      </c>
      <c r="G118" s="32">
        <f>E118*F118</f>
        <v>6787.86759936</v>
      </c>
    </row>
    <row r="119" spans="2:7" ht="12">
      <c r="B119" s="52" t="s">
        <v>176</v>
      </c>
      <c r="C119" s="53"/>
      <c r="D119" s="53"/>
      <c r="E119" s="53"/>
      <c r="F119" s="54"/>
      <c r="G119" s="33">
        <f>SUM(G116:G118)</f>
        <v>9804.15566208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14:F114"/>
    <mergeCell ref="B115:G115"/>
    <mergeCell ref="B119:F119"/>
    <mergeCell ref="B1:G1"/>
    <mergeCell ref="B4:G4"/>
    <mergeCell ref="B32:F32"/>
    <mergeCell ref="B33:G33"/>
    <mergeCell ref="B100:F100"/>
    <mergeCell ref="B101:G101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Galina</cp:lastModifiedBy>
  <dcterms:created xsi:type="dcterms:W3CDTF">2019-04-22T00:14:01Z</dcterms:created>
  <dcterms:modified xsi:type="dcterms:W3CDTF">2019-04-21T21:16:48Z</dcterms:modified>
  <cp:category>ÑÐ¼ÐµÑ‚Ð°</cp:category>
  <cp:version/>
  <cp:contentType/>
  <cp:contentStatus/>
</cp:coreProperties>
</file>