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<sst xmlns="http://schemas.openxmlformats.org/spreadsheetml/2006/main" count="416" uniqueCount="312">
  <si>
    <t>Смета расходов. Список работ</t>
  </si>
  <si>
    <t>Код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</si>
  <si>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</si>
  <si>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</si>
  <si>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</si>
  <si>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</si>
  <si>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</si>
  <si>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</si>
  <si>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</si>
  <si>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</si>
  <si>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</si>
  <si>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</si>
  <si>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</si>
  <si>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</si>
  <si>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ул. Ипподромная, д. 2В</t>
  </si>
  <si>
    <t>Общ. площ.,кв.м.</t>
  </si>
  <si>
    <t>Внутридомовое инженерное оборудование и технические устройства</t>
  </si>
  <si>
    <t>2.1.2.1.1</t>
  </si>
  <si>
    <t>Смена отдельных участков трубопроводов из стальных водогазопроводных неоцинкованных труб диаметром 15 мм</t>
  </si>
  <si>
    <t>100 м трубопровода</t>
  </si>
  <si>
    <t>2.1.2.1.2</t>
  </si>
  <si>
    <t>Смена отдельных участков трубопроводов из стальных водогазопроводных неоцинкованных труб диаметром 20 мм</t>
  </si>
  <si>
    <t>2.1.4.3</t>
  </si>
  <si>
    <t>Текущий ремонт пластинчатых теплообменников</t>
  </si>
  <si>
    <t>1 теплообменник</t>
  </si>
  <si>
    <t>2.1.4.5</t>
  </si>
  <si>
    <t>Автоматизация теплового пункта</t>
  </si>
  <si>
    <t>1 пункт</t>
  </si>
  <si>
    <t>2.2.1.1.1</t>
  </si>
  <si>
    <t>Смена отдельных участков трубопроводов  водоснабжения из стальных водогазопроводных оцинкованных труб диаметром  15 мм</t>
  </si>
  <si>
    <t>100 м трубопроводов</t>
  </si>
  <si>
    <t>2.2.1.5.1</t>
  </si>
  <si>
    <t>Замена внутренних водопроводов из стальных труб   на металлопластиковые, диаметром 20 мм</t>
  </si>
  <si>
    <t>2.2.6.1</t>
  </si>
  <si>
    <t>Смена вентилей и клапанов обратных муфтовых диаметром до 20 мм</t>
  </si>
  <si>
    <t>100 шт.</t>
  </si>
  <si>
    <t>2.6.8.1</t>
  </si>
  <si>
    <t>Осмотр территории вокруг здания и фундамента</t>
  </si>
  <si>
    <t>1000 кв.м. общей площади</t>
  </si>
  <si>
    <t>2.6.8.2</t>
  </si>
  <si>
    <t>Осмотр кирпичных и железобетонных стен, фасадов</t>
  </si>
  <si>
    <t>2.6.8.6</t>
  </si>
  <si>
    <t>Осмотр железобетонных перекрытий</t>
  </si>
  <si>
    <t>1000 кв.м. полов</t>
  </si>
  <si>
    <t>2.6.8.8</t>
  </si>
  <si>
    <t>Осмотр внутренней отделки стен</t>
  </si>
  <si>
    <t>2.6.8.9</t>
  </si>
  <si>
    <t>Осмотр заполнения дверных и оконных проемов</t>
  </si>
  <si>
    <t>2.6.9.2</t>
  </si>
  <si>
    <t>Осмотр всех элементов рулонных кровель, водостоков</t>
  </si>
  <si>
    <t>1000 кв.м. кровли</t>
  </si>
  <si>
    <t>2.6.11.1</t>
  </si>
  <si>
    <t>Осмотр водопровода, канализации и горячего водоснабжения</t>
  </si>
  <si>
    <t>100 квартир</t>
  </si>
  <si>
    <t>2.6.12.2</t>
  </si>
  <si>
    <t>Проведение технических осмотров и устранение незначительных неисправностей в системе вентиляции</t>
  </si>
  <si>
    <t>2.6.13.1</t>
  </si>
  <si>
    <t>Осмотр  электросети, арматуры, электрооборудования на лестничных клетках</t>
  </si>
  <si>
    <t>100 лестничных площадок</t>
  </si>
  <si>
    <t>2.6.13.2</t>
  </si>
  <si>
    <t>Осмотр  силовых установок</t>
  </si>
  <si>
    <t>1 электромотор</t>
  </si>
  <si>
    <t>2.6.14.1.1</t>
  </si>
  <si>
    <t>Осмотр внутриквартирных устройств системы центрального отопления</t>
  </si>
  <si>
    <t>2.6.14.1.2</t>
  </si>
  <si>
    <t>Осмотр устройства системы центрального отопления в чердачных и подвальных помещениях</t>
  </si>
  <si>
    <t>1000 м2 осматриваемых помещений</t>
  </si>
  <si>
    <t>2.7.2.2</t>
  </si>
  <si>
    <t>Устранение аварии на внутридомовых инженерных сетях при сроке эксплуатации многоквартирного дома от 11 до 30  лет</t>
  </si>
  <si>
    <t>1000 м2  общей площади жилых помещений, не оборудованных газовыми плитами (в год для одной смены)</t>
  </si>
  <si>
    <t>Итого по разделу:</t>
  </si>
  <si>
    <t>Санитарное содержание мест общего пользования, благоустройство придомовой территории и прочие работы</t>
  </si>
  <si>
    <t>3.1.1.3.1.1</t>
  </si>
  <si>
    <t>Подметание лестничных площадок и маршей нижних трех этажей с предварительным их увлажнением (в доме с лифтами без мусоропроводов)</t>
  </si>
  <si>
    <t>100 м2  убираемой  площади</t>
  </si>
  <si>
    <t>3.1.1.3.1.2</t>
  </si>
  <si>
    <t>Подметание лестничных площадок и маршей выше третьего этажа с предварительным их увлажнением  (в доме с лифтами без мусоропроводов)</t>
  </si>
  <si>
    <t>100 м2 убираемой  площади</t>
  </si>
  <si>
    <t>3.1.1.3.1.3</t>
  </si>
  <si>
    <t>Подметание кабин лифтов  с предварительным их увлажнением  (в доме с лифтами без мусоропроводов)</t>
  </si>
  <si>
    <t>100 м2  лифтов</t>
  </si>
  <si>
    <t>3.1.3.1</t>
  </si>
  <si>
    <t>Протирка пыли  с колпаков  светильников (в подвалах, на чердаках и лестничных клетках)</t>
  </si>
  <si>
    <t>3.1.3.2</t>
  </si>
  <si>
    <t>Протирка пыли  с подоконников в помещениях общего  пользования</t>
  </si>
  <si>
    <t xml:space="preserve">100 м2 подоконников </t>
  </si>
  <si>
    <t>3.1.5.1</t>
  </si>
  <si>
    <t>Подметание  чердаков и подвалов без предварительного увлажнения</t>
  </si>
  <si>
    <t>100 м2 чердаков и подвалов</t>
  </si>
  <si>
    <t>3.1.5.3</t>
  </si>
  <si>
    <t>Очистка чердаков  и подвалов от строительного мусора</t>
  </si>
  <si>
    <t>100 кг строительного мусора</t>
  </si>
  <si>
    <t>3.1.9.1</t>
  </si>
  <si>
    <t>Влажная протирка почтовых ящиков (с моющим средством)</t>
  </si>
  <si>
    <t>100 кв.м почтовых ящиков</t>
  </si>
  <si>
    <t>3.1.9.5</t>
  </si>
  <si>
    <t>Влажная протирка шкафов для электросчетчиков слаботочных устройств  (с моющим средством)</t>
  </si>
  <si>
    <t>100 кв. м шкафов для электросчетчиков слаботочных устройств</t>
  </si>
  <si>
    <t>3.1.9.7</t>
  </si>
  <si>
    <t>Влажная протирка перил лестниц (с моющим средством)</t>
  </si>
  <si>
    <t>100 кв.м. перил лестниц</t>
  </si>
  <si>
    <t>3.1.9.10</t>
  </si>
  <si>
    <t>Влажная протирка стен (с моющим средством)</t>
  </si>
  <si>
    <t>100 кв. м стен</t>
  </si>
  <si>
    <t>3.1.9.11</t>
  </si>
  <si>
    <t>Влажная протирка отопительных приборов (моющим средством)</t>
  </si>
  <si>
    <t>100 кв. м отопительных приборов</t>
  </si>
  <si>
    <t>3.2.1.1</t>
  </si>
  <si>
    <t>Подметание в летний период  земельного участка с усовершенствованным покрытием 1 класса</t>
  </si>
  <si>
    <t>1 000 кв.м. территории</t>
  </si>
  <si>
    <t>3.2.2.1</t>
  </si>
  <si>
    <t>Полив тротуаров 1 класса</t>
  </si>
  <si>
    <t>100 000 кв.м. территории</t>
  </si>
  <si>
    <t>3.2.3.1.1</t>
  </si>
  <si>
    <t>Уборка газонов средней засоренности от листьев, сучьев, мусора</t>
  </si>
  <si>
    <t>3.2.3.1.3</t>
  </si>
  <si>
    <t>Уборка газонов от случайного мусора</t>
  </si>
  <si>
    <t>100 000 м2</t>
  </si>
  <si>
    <t>3.2.3.1.4</t>
  </si>
  <si>
    <t>Полив газонов</t>
  </si>
  <si>
    <t>на 100 000 кв.м.</t>
  </si>
  <si>
    <t>3.2.3.1.5</t>
  </si>
  <si>
    <t>Стрижка газонов</t>
  </si>
  <si>
    <t>на 100 кв.м.</t>
  </si>
  <si>
    <t>3.2.4.1</t>
  </si>
  <si>
    <t>Формовочная обрезка деревьев</t>
  </si>
  <si>
    <t>100 деревьев</t>
  </si>
  <si>
    <t>3.2.4.2</t>
  </si>
  <si>
    <t>Вырезка сухих ветвей и поросли</t>
  </si>
  <si>
    <t>3.2.4.3</t>
  </si>
  <si>
    <t>Обрезка под естественный вид крон деревьев</t>
  </si>
  <si>
    <t>3.2.4.4</t>
  </si>
  <si>
    <t>Формирование кроны кустарников</t>
  </si>
  <si>
    <t>1000 кустов</t>
  </si>
  <si>
    <t>3.2.5.2.1</t>
  </si>
  <si>
    <t>Окраска скамьи без спинки с металлическими опорами</t>
  </si>
  <si>
    <t>скамья</t>
  </si>
  <si>
    <t>3.2.5.2.4</t>
  </si>
  <si>
    <t>Окраска качелей-маятника</t>
  </si>
  <si>
    <t>качели</t>
  </si>
  <si>
    <t>3.2.5.2.6</t>
  </si>
  <si>
    <t>Окраска поверхности песочницы</t>
  </si>
  <si>
    <t>песочница</t>
  </si>
  <si>
    <t>3.2.5.2.8</t>
  </si>
  <si>
    <t>Окраска лестницы</t>
  </si>
  <si>
    <t>лестница</t>
  </si>
  <si>
    <t>3.2.5.2.9</t>
  </si>
  <si>
    <t>Окраска турника</t>
  </si>
  <si>
    <t>турник</t>
  </si>
  <si>
    <t>3.2.5.2.12</t>
  </si>
  <si>
    <t>Окраска металлических ограждений спортивных площадок</t>
  </si>
  <si>
    <t xml:space="preserve">пог.м. </t>
  </si>
  <si>
    <t>3.2.5.2.13</t>
  </si>
  <si>
    <t>Окраска деревянных ограждений спортивных площадок</t>
  </si>
  <si>
    <t>3.2.6.1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</si>
  <si>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</si>
  <si>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</si>
  <si>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3.2.7.1</t>
  </si>
  <si>
    <t>Сдвижка и подметание снега при снегопаде на придомовой территории с усовершенствованным покрытием 1 класса</t>
  </si>
  <si>
    <t>3.2.10.1</t>
  </si>
  <si>
    <t>Подметание свежевыпавшего снега толщиной слоя до 2 см дорожной комбинированной машиной</t>
  </si>
  <si>
    <t>1000 м2</t>
  </si>
  <si>
    <t>3.2.10.2</t>
  </si>
  <si>
    <t>Подметание свежевыпавшего снега толщиной слоя до 2 см трактором</t>
  </si>
  <si>
    <t>3.2.10.4</t>
  </si>
  <si>
    <t>Сдвигание свежевыпавшего снега толщиной слоя свыше 2 см в валы или кучи трактором</t>
  </si>
  <si>
    <t>3.2.10.5</t>
  </si>
  <si>
    <t>Скалывание и уборка льда и уплотненного снега толщиной слоя свыше 2 см</t>
  </si>
  <si>
    <t>3.2.11</t>
  </si>
  <si>
    <t>Уборка крыльца и площадки перед входом в подъезд (в холодный период года)</t>
  </si>
  <si>
    <t>100 кв.м</t>
  </si>
  <si>
    <t>3.2.12</t>
  </si>
  <si>
    <t>Уборка крыльца и площадки перед входом в подъезд (в теплый период года)</t>
  </si>
  <si>
    <t>3.2.13</t>
  </si>
  <si>
    <t>Очистка металлической решетки и приямка (в теплый период)</t>
  </si>
  <si>
    <t>1 приямок</t>
  </si>
  <si>
    <t>3.2.14</t>
  </si>
  <si>
    <t>Очистка контейнерной площадки в холодный период</t>
  </si>
  <si>
    <t>3.2.15</t>
  </si>
  <si>
    <t>Уборка мусора на  контейнерных  площадках</t>
  </si>
  <si>
    <t>3.2.18</t>
  </si>
  <si>
    <t>Перекидывание снега и скола</t>
  </si>
  <si>
    <t>1 м3</t>
  </si>
  <si>
    <t>3.2.19</t>
  </si>
  <si>
    <t>Мытье ступеней и площадок перед входом в подъезд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</si>
  <si>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</si>
  <si>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</si>
  <si>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</si>
  <si>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</si>
  <si>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</si>
  <si>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</si>
  <si>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</si>
  <si>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</si>
  <si>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</si>
  <si>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</si>
  <si>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№пп</t>
  </si>
  <si>
    <t>Ресурс</t>
  </si>
  <si>
    <t>Ед. измерения</t>
  </si>
  <si>
    <t>Цена, руб.</t>
  </si>
  <si>
    <t>Трудовые ресурсы</t>
  </si>
  <si>
    <t>Бетонщик 4 разряда</t>
  </si>
  <si>
    <t>чел.-час</t>
  </si>
  <si>
    <t>Дворник 1 разряда</t>
  </si>
  <si>
    <t>Каменщик 3 разряда</t>
  </si>
  <si>
    <t>Кровельщик по рулонным кровлям и по кровлям из штучных материалов 4 разряда</t>
  </si>
  <si>
    <t>Маляр 2 разряда</t>
  </si>
  <si>
    <t>Рабочий зеленого хозяйства 3 разряда</t>
  </si>
  <si>
    <t>Рабочий зеленого хозяйства 4 разряда</t>
  </si>
  <si>
    <t>Рабочий зеленого хозяйства 5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</si>
  <si>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</si>
  <si>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</si>
  <si>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Слесарь по контрольно-измерительным приборам и автоматике 3 разряда</t>
  </si>
  <si>
    <t>Слесарь по контрольно-измерительным приборам и автоматике 4 разряда</t>
  </si>
  <si>
    <t>Слесарь по контрольно-измерительным приборам и автоматике 5 разряда</t>
  </si>
  <si>
    <t>Слесарь по обслуживанию тепловых пунктов 3 разряда</t>
  </si>
  <si>
    <t>Слесарь по обслуживанию тепловых пунктов 4 разряда</t>
  </si>
  <si>
    <t>Слесарь по обслуживанию тепловых пунктов 5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</si>
  <si>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</si>
  <si>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</si>
  <si>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</si>
  <si>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</si>
  <si>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Столяр строительный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</si>
  <si>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</si>
  <si>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</si>
  <si>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</si>
  <si>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</si>
  <si>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</si>
  <si>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Hиппель размером 3/4"</t>
  </si>
  <si>
    <t>шт.</t>
  </si>
  <si>
    <t>Арматура муфтовая неоцинкованная  к трубопроводам диаметром 15 мм</t>
  </si>
  <si>
    <t>Арматура муфтовая неоцинкованная к трубопроводам диаметром 20 мм</t>
  </si>
  <si>
    <t>Арматура муфтовая оцинкованная  к трубопроводам диаметром 15 мм</t>
  </si>
  <si>
    <t>Ацетилен газообразный технический</t>
  </si>
  <si>
    <t>м3</t>
  </si>
  <si>
    <t>Бензин</t>
  </si>
  <si>
    <t>т</t>
  </si>
  <si>
    <t>Блок автоматизации</t>
  </si>
  <si>
    <t>Болты с гайками и шайбами строительные</t>
  </si>
  <si>
    <t>Вентиль обратный муфтовый диаметром до 20 мм</t>
  </si>
  <si>
    <t>Ветошь</t>
  </si>
  <si>
    <t>кг</t>
  </si>
  <si>
    <t>Вода водопроводная</t>
  </si>
  <si>
    <t>Водомер диаметром до 100 мм (СТВ-100)</t>
  </si>
  <si>
    <t>Гильза</t>
  </si>
  <si>
    <t>Датчик давления</t>
  </si>
  <si>
    <t>Датчик несанкционированного проникновения</t>
  </si>
  <si>
    <t>Датчик температуры</t>
  </si>
  <si>
    <t>Известь строительная негашеная хлорная марки А</t>
  </si>
  <si>
    <t>Кислород технический газообразный</t>
  </si>
  <si>
    <t>Краны переходные</t>
  </si>
  <si>
    <t>Краски масляные земляные  МА-0115: мумия, сурик  железный</t>
  </si>
  <si>
    <t>Краски масляные и алкидные густотертые: цинковые МА-011-2Н</t>
  </si>
  <si>
    <t>Краски масляные и алкидные цветные, готовые к применению для наружных работ МА-15</t>
  </si>
  <si>
    <t xml:space="preserve">Лен трепаный </t>
  </si>
  <si>
    <t xml:space="preserve">Манометры общего назначения с трехходовым краном ОБМ1-100 </t>
  </si>
  <si>
    <t>компл.</t>
  </si>
  <si>
    <t>Мешки полиэтиленовые, 60 л</t>
  </si>
  <si>
    <t>1000 шт.</t>
  </si>
  <si>
    <t>Моющее средство</t>
  </si>
  <si>
    <t>Мыло</t>
  </si>
  <si>
    <t>Натр едкий (сода каустическая) технический марки ТР</t>
  </si>
  <si>
    <t>Олифа комбинированная К-3</t>
  </si>
  <si>
    <t>Олифа натуральная</t>
  </si>
  <si>
    <t>Очес льняной</t>
  </si>
  <si>
    <t>Паронит</t>
  </si>
  <si>
    <t>Переходник H-В размером 3/4"</t>
  </si>
  <si>
    <t>10 шт.</t>
  </si>
  <si>
    <t>Провода силовые</t>
  </si>
  <si>
    <t>1000 пог. м.</t>
  </si>
  <si>
    <t>Регулятор давления</t>
  </si>
  <si>
    <t>Регулятор расхода</t>
  </si>
  <si>
    <t>Реле контроля напряжения</t>
  </si>
  <si>
    <t>Скобы металлические</t>
  </si>
  <si>
    <t>Соединительные детали "Vestol" размером 3/4"</t>
  </si>
  <si>
    <t>Сурик свинцовый тертый</t>
  </si>
  <si>
    <t>Термометр прямой (угловой) ртутный (ножка 66 мм) до 160 град С в оправе</t>
  </si>
  <si>
    <t>Ткань мешочная</t>
  </si>
  <si>
    <t>10 м2</t>
  </si>
  <si>
    <t>Ткань хлопчатобумажная техническая</t>
  </si>
  <si>
    <t>м2</t>
  </si>
  <si>
    <t>Тройник размером 3/4"</t>
  </si>
  <si>
    <t>Трубки защитные гофрированные</t>
  </si>
  <si>
    <t>пог. м.</t>
  </si>
  <si>
    <t>Трубы металлопластиковые многослойные диаметром 20 мм</t>
  </si>
  <si>
    <t>пог. м</t>
  </si>
  <si>
    <t>Трубы стальные сварные водогазопроводные с резьбой оцинкованные обыкновенные диаметр условного прохода 15 мм, толщина стенки 2.8 мм</t>
  </si>
  <si>
    <t>Трубы стальные сварные водогазопроводные с резьбой черные обыкновенные (неоцинкованные) диаметр условного прохода 15 мм, толщина стенки 2.8 мм</t>
  </si>
  <si>
    <t>Трубы стальные сварные водогазопроводные с резьбой черные обыкновенные (неоцинкованные) диаметр условного прохода 20 мм, толщина стенки 2.8 мм</t>
  </si>
  <si>
    <t>Угольник H-В размером 3/4"</t>
  </si>
  <si>
    <t>Фиксатор пластмассовый ординарный для металлполимерных труб</t>
  </si>
  <si>
    <t>Шаровой кран</t>
  </si>
  <si>
    <t>Шпатлевка масляно-клеевая</t>
  </si>
  <si>
    <t>Электроды диаметром 6 мм Э42</t>
  </si>
  <si>
    <t>Специнвентарь</t>
  </si>
  <si>
    <t>Ведро  оцинкованное, 12 л</t>
  </si>
  <si>
    <t xml:space="preserve">Веник обыкновенный </t>
  </si>
  <si>
    <t>Грабли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</si>
  <si>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</si>
  <si>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</si>
  <si>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</si>
  <si>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</si>
  <si>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</si>
  <si>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</si>
  <si>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</si>
  <si>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Шланг поливочный, 20 м</t>
  </si>
  <si>
    <t>Щетка д/пола 280 мм с черенком на резьбе 1,2 м.</t>
  </si>
  <si>
    <t>Машины/Механизмы</t>
  </si>
  <si>
    <t>Вышки телескопические 25 м</t>
  </si>
  <si>
    <t>маш.-час</t>
  </si>
  <si>
    <t>Газонокосилка</t>
  </si>
  <si>
    <t>Машина дорожная комбинированная (до 100 л.с.)</t>
  </si>
  <si>
    <t>Трактор (до 100 л.с.)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</si>
</sst>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6" fillId="35" borderId="21" xfId="0" applyNumberFormat="1" applyFont="1" applyFill="1" applyBorder="1" applyAlignment="1" applyProtection="1">
      <alignment horizontal="right" vertical="center" wrapText="1"/>
      <protection/>
    </xf>
    <xf numFmtId="4" fontId="6" fillId="35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 applyProtection="1">
      <alignment horizontal="right" vertical="center" wrapText="1"/>
      <protection/>
    </xf>
    <xf numFmtId="4" fontId="12" fillId="0" borderId="3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5" fillId="37" borderId="33" xfId="0" applyFont="1" applyFill="1" applyBorder="1" applyAlignment="1" applyProtection="1">
      <alignment horizontal="left" vertical="center" wrapText="1"/>
      <protection/>
    </xf>
    <xf numFmtId="0" fontId="5" fillId="37" borderId="34" xfId="0" applyFont="1" applyFill="1" applyBorder="1" applyAlignment="1" applyProtection="1">
      <alignment horizontal="left" vertical="center" wrapText="1"/>
      <protection/>
    </xf>
    <xf numFmtId="4" fontId="5" fillId="37" borderId="34" xfId="0" applyNumberFormat="1" applyFont="1" applyFill="1" applyBorder="1" applyAlignment="1" applyProtection="1">
      <alignment horizontal="left" vertical="center" wrapText="1"/>
      <protection/>
    </xf>
    <xf numFmtId="4" fontId="5" fillId="37" borderId="35" xfId="0" applyNumberFormat="1" applyFont="1" applyFill="1" applyBorder="1" applyAlignment="1" applyProtection="1">
      <alignment horizontal="left" vertical="center" wrapText="1"/>
      <protection/>
    </xf>
    <xf numFmtId="0" fontId="6" fillId="34" borderId="36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5" borderId="37" xfId="0" applyFont="1" applyFill="1" applyBorder="1" applyAlignment="1" applyProtection="1">
      <alignment horizontal="right" vertical="center" wrapText="1"/>
      <protection/>
    </xf>
    <xf numFmtId="0" fontId="6" fillId="35" borderId="2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0" fontId="12" fillId="0" borderId="39" xfId="0" applyFont="1" applyFill="1" applyBorder="1" applyAlignment="1" applyProtection="1">
      <alignment horizontal="left" vertical="center" wrapText="1"/>
      <protection/>
    </xf>
    <xf numFmtId="4" fontId="12" fillId="0" borderId="39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9"/>
  <sheetViews>
    <sheetView tabSelected="1" workbookViewId="0" topLeftCell="E60">
      <selection activeCell="A2" sqref="A2"/>
    </sheetView>
  </sheetViews>
  <sheetFormatPr defaultColWidth="9.140625" defaultRowHeight="12"/>
  <cols>
    <col min="1" max="1" width="0" style="0" hidden="1" customWidth="1"/>
    <col min="2" max="2" width="15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4" width="15.00390625" style="0" customWidth="1"/>
  </cols>
  <sheetData>
    <row r="1" spans="2:14" ht="23.25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</row>
    <row r="3" spans="2:14" ht="54.75" customHeight="1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 t="s">
        <v>13</v>
      </c>
    </row>
    <row r="4" spans="2:14" ht="24.75" customHeight="1">
      <c r="B4" s="35" t="s">
        <v>14</v>
      </c>
      <c r="C4" s="36"/>
      <c r="D4" s="36"/>
      <c r="E4" s="36"/>
      <c r="F4" s="36"/>
      <c r="G4" s="37"/>
      <c r="H4" s="37"/>
      <c r="I4" s="37"/>
      <c r="J4" s="37"/>
      <c r="K4" s="37"/>
      <c r="L4" s="38" t="s">
        <v>15</v>
      </c>
      <c r="M4" s="38"/>
      <c r="N4" s="16">
        <v>5067</v>
      </c>
    </row>
    <row r="5" spans="2:14" ht="21.75" customHeight="1">
      <c r="B5" s="39" t="s">
        <v>16</v>
      </c>
      <c r="C5" s="40"/>
      <c r="D5" s="40"/>
      <c r="E5" s="40"/>
      <c r="F5" s="40"/>
      <c r="G5" s="41"/>
      <c r="H5" s="41"/>
      <c r="I5" s="41"/>
      <c r="J5" s="41"/>
      <c r="K5" s="41"/>
      <c r="L5" s="41"/>
      <c r="M5" s="41"/>
      <c r="N5" s="42"/>
    </row>
    <row r="6" spans="2:14" ht="36">
      <c r="B6" s="8" t="s">
        <v>17</v>
      </c>
      <c r="C6" s="6" t="s">
        <v>18</v>
      </c>
      <c r="D6" s="6" t="s">
        <v>19</v>
      </c>
      <c r="E6" s="10">
        <v>0.14</v>
      </c>
      <c r="F6" s="10">
        <v>1</v>
      </c>
      <c r="G6" s="13">
        <f>13709.412541629*E6*F6</f>
        <v>1919.3177558280604</v>
      </c>
      <c r="H6" s="13">
        <f>9831.801825216*E6*F6</f>
        <v>1376.45225553024</v>
      </c>
      <c r="I6" s="13">
        <f aca="true" t="shared" si="0" ref="I6:I25">0*E6*F6</f>
        <v>0</v>
      </c>
      <c r="J6" s="13">
        <f>13051.360739631*E6*F6</f>
        <v>1827.19050354834</v>
      </c>
      <c r="K6" s="13">
        <f>3842.22038618*E6*F6</f>
        <v>537.9108540652</v>
      </c>
      <c r="L6" s="13">
        <f>2741.8825083258*E6*F6</f>
        <v>383.863551165612</v>
      </c>
      <c r="M6" s="13">
        <f aca="true" t="shared" si="1" ref="M6:M25">SUM(G6:L6)</f>
        <v>6044.734920137453</v>
      </c>
      <c r="N6" s="17">
        <f>IF(N4&gt;0,(M6/$N$4/12),0)</f>
        <v>0.09941344188108435</v>
      </c>
    </row>
    <row r="7" spans="2:14" ht="36">
      <c r="B7" s="9" t="s">
        <v>20</v>
      </c>
      <c r="C7" s="7" t="s">
        <v>21</v>
      </c>
      <c r="D7" s="7" t="s">
        <v>19</v>
      </c>
      <c r="E7" s="11">
        <v>0.1</v>
      </c>
      <c r="F7" s="11">
        <v>1</v>
      </c>
      <c r="G7" s="14">
        <f>14394.88317*E7*F7</f>
        <v>1439.488317</v>
      </c>
      <c r="H7" s="14">
        <f>12292.780905216*E7*F7</f>
        <v>1229.2780905216</v>
      </c>
      <c r="I7" s="14">
        <f t="shared" si="0"/>
        <v>0</v>
      </c>
      <c r="J7" s="14">
        <f>13703.92877784*E7*F7</f>
        <v>1370.3928777840001</v>
      </c>
      <c r="K7" s="14">
        <f>4241.1172495709*E7*F7</f>
        <v>424.11172495709</v>
      </c>
      <c r="L7" s="14">
        <f>2878.976634*E7*F7</f>
        <v>287.8976634</v>
      </c>
      <c r="M7" s="14">
        <f t="shared" si="1"/>
        <v>4751.16867366269</v>
      </c>
      <c r="N7" s="18">
        <f>IF(N4&gt;0,(M7/$N$4/12),0)</f>
        <v>0.07813908087728916</v>
      </c>
    </row>
    <row r="8" spans="2:14" ht="12">
      <c r="B8" s="9" t="s">
        <v>22</v>
      </c>
      <c r="C8" s="7" t="s">
        <v>23</v>
      </c>
      <c r="D8" s="7" t="s">
        <v>24</v>
      </c>
      <c r="E8" s="11">
        <v>2</v>
      </c>
      <c r="F8" s="11">
        <v>1</v>
      </c>
      <c r="G8" s="14">
        <f>2180.9802*E8*F8</f>
        <v>4361.9604</v>
      </c>
      <c r="H8" s="14">
        <f>2084.25727566*E8*F8</f>
        <v>4168.51455132</v>
      </c>
      <c r="I8" s="14">
        <f t="shared" si="0"/>
        <v>0</v>
      </c>
      <c r="J8" s="14">
        <f>2076.2931504*E8*F8</f>
        <v>4152.5863008</v>
      </c>
      <c r="K8" s="14">
        <f>665.8607157363*E8*F8</f>
        <v>1331.7214314726</v>
      </c>
      <c r="L8" s="14">
        <f>436.19604*E8*F8</f>
        <v>872.39208</v>
      </c>
      <c r="M8" s="14">
        <f t="shared" si="1"/>
        <v>14887.1747635926</v>
      </c>
      <c r="N8" s="18">
        <f>IF(N4&gt;0,(M8/$N$4/12),0)</f>
        <v>0.2448387402735445</v>
      </c>
    </row>
    <row r="9" spans="2:14" ht="12">
      <c r="B9" s="9" t="s">
        <v>25</v>
      </c>
      <c r="C9" s="7" t="s">
        <v>26</v>
      </c>
      <c r="D9" s="7" t="s">
        <v>27</v>
      </c>
      <c r="E9" s="11">
        <v>1</v>
      </c>
      <c r="F9" s="11">
        <v>0.2</v>
      </c>
      <c r="G9" s="14">
        <f>4637.99556*E9*F9</f>
        <v>927.5991120000001</v>
      </c>
      <c r="H9" s="14">
        <f>219738.504195*E9*F9</f>
        <v>43947.700839</v>
      </c>
      <c r="I9" s="14">
        <f t="shared" si="0"/>
        <v>0</v>
      </c>
      <c r="J9" s="14">
        <f>4415.37177312*E9*F9</f>
        <v>883.0743546240001</v>
      </c>
      <c r="K9" s="14">
        <f>24023.146510453*E9*F9</f>
        <v>4804.6293020906005</v>
      </c>
      <c r="L9" s="14">
        <f>927.599112*E9*F9</f>
        <v>185.5198224</v>
      </c>
      <c r="M9" s="14">
        <f t="shared" si="1"/>
        <v>50748.5234301146</v>
      </c>
      <c r="N9" s="18">
        <f>IF(N4&gt;0,(M9/$N$4/12),0)</f>
        <v>0.8346247521563482</v>
      </c>
    </row>
    <row r="10" spans="2:14" ht="36">
      <c r="B10" s="9" t="s">
        <v>28</v>
      </c>
      <c r="C10" s="7" t="s">
        <v>29</v>
      </c>
      <c r="D10" s="7" t="s">
        <v>30</v>
      </c>
      <c r="E10" s="11">
        <v>0.02</v>
      </c>
      <c r="F10" s="11">
        <v>1</v>
      </c>
      <c r="G10" s="14">
        <f>12541.11882*E10*F10</f>
        <v>250.8223764</v>
      </c>
      <c r="H10" s="14">
        <f>12637.432649016*E10*F10</f>
        <v>252.74865298032</v>
      </c>
      <c r="I10" s="14">
        <f t="shared" si="0"/>
        <v>0</v>
      </c>
      <c r="J10" s="14">
        <f>11939.14511664*E10*F10</f>
        <v>238.7829023328</v>
      </c>
      <c r="K10" s="14">
        <f>3897.3581414939*E10*F10</f>
        <v>77.947162829878</v>
      </c>
      <c r="L10" s="14">
        <f>2508.223764*E10*F10</f>
        <v>50.16447528</v>
      </c>
      <c r="M10" s="14">
        <f t="shared" si="1"/>
        <v>870.4655698229981</v>
      </c>
      <c r="N10" s="18">
        <f>IF(N4&gt;0,(M10/$N$4/12),0)</f>
        <v>0.014315926087477766</v>
      </c>
    </row>
    <row r="11" spans="2:14" ht="24">
      <c r="B11" s="9" t="s">
        <v>31</v>
      </c>
      <c r="C11" s="7" t="s">
        <v>32</v>
      </c>
      <c r="D11" s="7" t="s">
        <v>30</v>
      </c>
      <c r="E11" s="11">
        <v>0.3</v>
      </c>
      <c r="F11" s="11">
        <v>1</v>
      </c>
      <c r="G11" s="14">
        <f>24604.9387*E11*F11</f>
        <v>7381.481609999999</v>
      </c>
      <c r="H11" s="14">
        <f>54227.217492*E11*F11</f>
        <v>16268.1652476</v>
      </c>
      <c r="I11" s="14">
        <f t="shared" si="0"/>
        <v>0</v>
      </c>
      <c r="J11" s="14">
        <f>23423.9016424*E11*F11</f>
        <v>7027.17049272</v>
      </c>
      <c r="K11" s="14">
        <f>10736.886072612*E11*F11</f>
        <v>3221.0658217836</v>
      </c>
      <c r="L11" s="14">
        <f>4920.98774*E11*F11</f>
        <v>1476.296322</v>
      </c>
      <c r="M11" s="14">
        <f t="shared" si="1"/>
        <v>35374.1794941036</v>
      </c>
      <c r="N11" s="18">
        <f>IF(N4&gt;0,(M11/$N$4/12),0)</f>
        <v>0.5817738881340635</v>
      </c>
    </row>
    <row r="12" spans="2:14" ht="24">
      <c r="B12" s="9" t="s">
        <v>33</v>
      </c>
      <c r="C12" s="7" t="s">
        <v>34</v>
      </c>
      <c r="D12" s="7" t="s">
        <v>35</v>
      </c>
      <c r="E12" s="11">
        <v>0.32</v>
      </c>
      <c r="F12" s="11">
        <v>1</v>
      </c>
      <c r="G12" s="14">
        <f>13604.0958*E12*F12</f>
        <v>4353.310656</v>
      </c>
      <c r="H12" s="14">
        <f>19891.43807868*E12*F12</f>
        <v>6365.2601851776</v>
      </c>
      <c r="I12" s="14">
        <f t="shared" si="0"/>
        <v>0</v>
      </c>
      <c r="J12" s="14">
        <f>12951.0992016*E12*F12</f>
        <v>4144.351744512</v>
      </c>
      <c r="K12" s="14">
        <f>4876.8964734294*E12*F12</f>
        <v>1560.606871497408</v>
      </c>
      <c r="L12" s="14">
        <f>2720.81916*E12*F12</f>
        <v>870.6621312</v>
      </c>
      <c r="M12" s="14">
        <f t="shared" si="1"/>
        <v>17294.191588387006</v>
      </c>
      <c r="N12" s="18">
        <f>IF(N4&gt;0,(M12/$N$4/12),0)</f>
        <v>0.28442522841239076</v>
      </c>
    </row>
    <row r="13" spans="2:14" ht="24">
      <c r="B13" s="9" t="s">
        <v>36</v>
      </c>
      <c r="C13" s="7" t="s">
        <v>37</v>
      </c>
      <c r="D13" s="7" t="s">
        <v>38</v>
      </c>
      <c r="E13" s="11">
        <v>2.8</v>
      </c>
      <c r="F13" s="11">
        <v>2</v>
      </c>
      <c r="G13" s="14">
        <f>61.567116*E13*F13</f>
        <v>344.77584959999996</v>
      </c>
      <c r="H13" s="14">
        <f aca="true" t="shared" si="2" ref="H13:H25">0*E13*F13</f>
        <v>0</v>
      </c>
      <c r="I13" s="14">
        <f t="shared" si="0"/>
        <v>0</v>
      </c>
      <c r="J13" s="14">
        <f>58.611894432*E13*F13</f>
        <v>328.22660881919995</v>
      </c>
      <c r="K13" s="14">
        <f>12.61879609536*E13*F13</f>
        <v>70.665258134016</v>
      </c>
      <c r="L13" s="14">
        <f>12.3134232*E13*F13</f>
        <v>68.95516992</v>
      </c>
      <c r="M13" s="14">
        <f t="shared" si="1"/>
        <v>812.6228864732159</v>
      </c>
      <c r="N13" s="18">
        <f>IF(N4&gt;0,(M13/$N$4/12),0)</f>
        <v>0.013364628749312808</v>
      </c>
    </row>
    <row r="14" spans="2:14" ht="24">
      <c r="B14" s="9" t="s">
        <v>39</v>
      </c>
      <c r="C14" s="7" t="s">
        <v>40</v>
      </c>
      <c r="D14" s="7" t="s">
        <v>38</v>
      </c>
      <c r="E14" s="11">
        <v>0.2</v>
      </c>
      <c r="F14" s="11">
        <v>2</v>
      </c>
      <c r="G14" s="14">
        <f>490.958284*E14*F14</f>
        <v>196.3833136</v>
      </c>
      <c r="H14" s="14">
        <f t="shared" si="2"/>
        <v>0</v>
      </c>
      <c r="I14" s="14">
        <f t="shared" si="0"/>
        <v>0</v>
      </c>
      <c r="J14" s="14">
        <f>467.392286368*E14*F14</f>
        <v>186.9569145472</v>
      </c>
      <c r="K14" s="14">
        <f>100.62680988864*E14*F14</f>
        <v>40.250723955456</v>
      </c>
      <c r="L14" s="14">
        <f>98.1916568*E14*F14</f>
        <v>39.276662720000004</v>
      </c>
      <c r="M14" s="14">
        <f t="shared" si="1"/>
        <v>462.86761482265604</v>
      </c>
      <c r="N14" s="18">
        <f>IF(N4&gt;0,(M14/$N$4/12),0)</f>
        <v>0.0076124533718613255</v>
      </c>
    </row>
    <row r="15" spans="2:14" ht="12">
      <c r="B15" s="9" t="s">
        <v>41</v>
      </c>
      <c r="C15" s="7" t="s">
        <v>42</v>
      </c>
      <c r="D15" s="7" t="s">
        <v>43</v>
      </c>
      <c r="E15" s="11">
        <v>0.64</v>
      </c>
      <c r="F15" s="11">
        <v>2</v>
      </c>
      <c r="G15" s="14">
        <f>243.913704*E15*F15</f>
        <v>312.20954112</v>
      </c>
      <c r="H15" s="14">
        <f t="shared" si="2"/>
        <v>0</v>
      </c>
      <c r="I15" s="14">
        <f t="shared" si="0"/>
        <v>0</v>
      </c>
      <c r="J15" s="14">
        <f>232.205846208*E15*F15</f>
        <v>297.22348314624</v>
      </c>
      <c r="K15" s="14">
        <f>49.99255277184*E15*F15</f>
        <v>63.990467547955205</v>
      </c>
      <c r="L15" s="14">
        <f>48.7827408*E15*F15</f>
        <v>62.441908224</v>
      </c>
      <c r="M15" s="14">
        <f t="shared" si="1"/>
        <v>735.8654000381952</v>
      </c>
      <c r="N15" s="18">
        <f>IF(N4&gt;0,(M15/$N$4/12),0)</f>
        <v>0.012102253141868876</v>
      </c>
    </row>
    <row r="16" spans="2:14" ht="24">
      <c r="B16" s="9" t="s">
        <v>44</v>
      </c>
      <c r="C16" s="7" t="s">
        <v>45</v>
      </c>
      <c r="D16" s="7" t="s">
        <v>38</v>
      </c>
      <c r="E16" s="11">
        <v>1.8</v>
      </c>
      <c r="F16" s="11">
        <v>2</v>
      </c>
      <c r="G16" s="14">
        <f>712.1568*E16*F16</f>
        <v>2563.76448</v>
      </c>
      <c r="H16" s="14">
        <f t="shared" si="2"/>
        <v>0</v>
      </c>
      <c r="I16" s="14">
        <f t="shared" si="0"/>
        <v>0</v>
      </c>
      <c r="J16" s="14">
        <f>677.9732736*E16*F16</f>
        <v>2440.70378496</v>
      </c>
      <c r="K16" s="14">
        <f>145.963657728*E16*F16</f>
        <v>525.4691678208</v>
      </c>
      <c r="L16" s="14">
        <f>142.43136*E16*F16</f>
        <v>512.7528960000001</v>
      </c>
      <c r="M16" s="14">
        <f t="shared" si="1"/>
        <v>6042.6903287808</v>
      </c>
      <c r="N16" s="18">
        <f>IF(N4&gt;0,(M16/$N$4/12),0)</f>
        <v>0.09937981594600355</v>
      </c>
    </row>
    <row r="17" spans="2:14" ht="24">
      <c r="B17" s="9" t="s">
        <v>46</v>
      </c>
      <c r="C17" s="7" t="s">
        <v>47</v>
      </c>
      <c r="D17" s="7" t="s">
        <v>38</v>
      </c>
      <c r="E17" s="11">
        <v>0.7</v>
      </c>
      <c r="F17" s="11">
        <v>2</v>
      </c>
      <c r="G17" s="14">
        <f>534.1176*E17*F17</f>
        <v>747.76464</v>
      </c>
      <c r="H17" s="14">
        <f t="shared" si="2"/>
        <v>0</v>
      </c>
      <c r="I17" s="14">
        <f t="shared" si="0"/>
        <v>0</v>
      </c>
      <c r="J17" s="14">
        <f>508.4799552*E17*F17</f>
        <v>711.87193728</v>
      </c>
      <c r="K17" s="14">
        <f>109.472743296*E17*F17</f>
        <v>153.2618406144</v>
      </c>
      <c r="L17" s="14">
        <f>106.82352*E17*F17</f>
        <v>149.55292799999998</v>
      </c>
      <c r="M17" s="14">
        <f t="shared" si="1"/>
        <v>1762.4513458944</v>
      </c>
      <c r="N17" s="18">
        <f>IF(N4&gt;0,(M17/$N$4/12),0)</f>
        <v>0.0289857796509177</v>
      </c>
    </row>
    <row r="18" spans="2:14" ht="12">
      <c r="B18" s="9" t="s">
        <v>48</v>
      </c>
      <c r="C18" s="7" t="s">
        <v>49</v>
      </c>
      <c r="D18" s="7" t="s">
        <v>50</v>
      </c>
      <c r="E18" s="11">
        <v>1.8</v>
      </c>
      <c r="F18" s="11">
        <v>2</v>
      </c>
      <c r="G18" s="14">
        <f>498.50976*E18*F18</f>
        <v>1794.635136</v>
      </c>
      <c r="H18" s="14">
        <f t="shared" si="2"/>
        <v>0</v>
      </c>
      <c r="I18" s="14">
        <f t="shared" si="0"/>
        <v>0</v>
      </c>
      <c r="J18" s="14">
        <f>474.58129152*E18*F18</f>
        <v>1708.492649472</v>
      </c>
      <c r="K18" s="14">
        <f>102.1745604096*E18*F18</f>
        <v>367.82841747456</v>
      </c>
      <c r="L18" s="14">
        <f>99.701952*E18*F18</f>
        <v>358.92702720000005</v>
      </c>
      <c r="M18" s="14">
        <f t="shared" si="1"/>
        <v>4229.88323014656</v>
      </c>
      <c r="N18" s="18">
        <f>IF(N4&gt;0,(M18/$N$4/12),0)</f>
        <v>0.06956587116220249</v>
      </c>
    </row>
    <row r="19" spans="2:14" ht="24">
      <c r="B19" s="9" t="s">
        <v>51</v>
      </c>
      <c r="C19" s="7" t="s">
        <v>52</v>
      </c>
      <c r="D19" s="7" t="s">
        <v>53</v>
      </c>
      <c r="E19" s="11">
        <v>0.48</v>
      </c>
      <c r="F19" s="11">
        <v>1</v>
      </c>
      <c r="G19" s="14">
        <f>10682.352*E19*F19</f>
        <v>5127.528960000001</v>
      </c>
      <c r="H19" s="14">
        <f t="shared" si="2"/>
        <v>0</v>
      </c>
      <c r="I19" s="14">
        <f t="shared" si="0"/>
        <v>0</v>
      </c>
      <c r="J19" s="14">
        <f>10169.599104*E19*F19</f>
        <v>4881.40756992</v>
      </c>
      <c r="K19" s="14">
        <f>2189.45486592*E19*F19</f>
        <v>1050.9383356416</v>
      </c>
      <c r="L19" s="14">
        <f>2136.4704*E19*F19</f>
        <v>1025.505792</v>
      </c>
      <c r="M19" s="14">
        <f t="shared" si="1"/>
        <v>12085.3806575616</v>
      </c>
      <c r="N19" s="18">
        <f>IF(N4&gt;0,(M19/$N$4/12),0)</f>
        <v>0.1987596318920071</v>
      </c>
    </row>
    <row r="20" spans="2:14" ht="24">
      <c r="B20" s="9" t="s">
        <v>54</v>
      </c>
      <c r="C20" s="7" t="s">
        <v>55</v>
      </c>
      <c r="D20" s="7" t="s">
        <v>38</v>
      </c>
      <c r="E20" s="11">
        <v>1.9</v>
      </c>
      <c r="F20" s="11">
        <v>2</v>
      </c>
      <c r="G20" s="14">
        <f>663.03048*E20*F20</f>
        <v>2519.515824</v>
      </c>
      <c r="H20" s="14">
        <f t="shared" si="2"/>
        <v>0</v>
      </c>
      <c r="I20" s="14">
        <f t="shared" si="0"/>
        <v>0</v>
      </c>
      <c r="J20" s="14">
        <f>631.20501696*E20*F20</f>
        <v>2398.579064448</v>
      </c>
      <c r="K20" s="14">
        <f>135.8947271808*E20*F20</f>
        <v>516.39996328704</v>
      </c>
      <c r="L20" s="14">
        <f>132.606096*E20*F20</f>
        <v>503.9031648</v>
      </c>
      <c r="M20" s="14">
        <f t="shared" si="1"/>
        <v>5938.39801653504</v>
      </c>
      <c r="N20" s="18">
        <f>IF(N4&gt;0,(M20/$N$4/12),0)</f>
        <v>0.09766459470651669</v>
      </c>
    </row>
    <row r="21" spans="2:14" ht="24">
      <c r="B21" s="9" t="s">
        <v>56</v>
      </c>
      <c r="C21" s="7" t="s">
        <v>57</v>
      </c>
      <c r="D21" s="7" t="s">
        <v>58</v>
      </c>
      <c r="E21" s="11">
        <v>0.2</v>
      </c>
      <c r="F21" s="11">
        <v>2</v>
      </c>
      <c r="G21" s="14">
        <f>1602.3528*E21*F21</f>
        <v>640.94112</v>
      </c>
      <c r="H21" s="14">
        <f t="shared" si="2"/>
        <v>0</v>
      </c>
      <c r="I21" s="14">
        <f t="shared" si="0"/>
        <v>0</v>
      </c>
      <c r="J21" s="14">
        <f>1525.4398656*E21*F21</f>
        <v>610.17594624</v>
      </c>
      <c r="K21" s="14">
        <f>328.418229888*E21*F21</f>
        <v>131.3672919552</v>
      </c>
      <c r="L21" s="14">
        <f>320.47056*E21*F21</f>
        <v>128.188224</v>
      </c>
      <c r="M21" s="14">
        <f t="shared" si="1"/>
        <v>1510.6725821952</v>
      </c>
      <c r="N21" s="18">
        <f>IF(N4&gt;0,(M21/$N$4/12),0)</f>
        <v>0.024844953986500887</v>
      </c>
    </row>
    <row r="22" spans="2:14" ht="12">
      <c r="B22" s="9" t="s">
        <v>59</v>
      </c>
      <c r="C22" s="7" t="s">
        <v>60</v>
      </c>
      <c r="D22" s="7" t="s">
        <v>61</v>
      </c>
      <c r="E22" s="11">
        <v>2</v>
      </c>
      <c r="F22" s="11">
        <v>2</v>
      </c>
      <c r="G22" s="14">
        <f>89.0196*E22*F22</f>
        <v>356.0784</v>
      </c>
      <c r="H22" s="14">
        <f t="shared" si="2"/>
        <v>0</v>
      </c>
      <c r="I22" s="14">
        <f t="shared" si="0"/>
        <v>0</v>
      </c>
      <c r="J22" s="14">
        <f>84.7466592*E22*F22</f>
        <v>338.9866368</v>
      </c>
      <c r="K22" s="14">
        <f>18.245457216*E22*F22</f>
        <v>72.981828864</v>
      </c>
      <c r="L22" s="14">
        <f>17.80392*E22*F22</f>
        <v>71.21568</v>
      </c>
      <c r="M22" s="14">
        <f t="shared" si="1"/>
        <v>839.262545664</v>
      </c>
      <c r="N22" s="18">
        <f>IF(N4&gt;0,(M22/$N$4/12),0)</f>
        <v>0.013802752214722715</v>
      </c>
    </row>
    <row r="23" spans="2:14" ht="24">
      <c r="B23" s="9" t="s">
        <v>62</v>
      </c>
      <c r="C23" s="7" t="s">
        <v>63</v>
      </c>
      <c r="D23" s="7" t="s">
        <v>38</v>
      </c>
      <c r="E23" s="11">
        <v>0.9</v>
      </c>
      <c r="F23" s="11">
        <v>1</v>
      </c>
      <c r="G23" s="14">
        <f>1780.392*E23*F23</f>
        <v>1602.3528000000001</v>
      </c>
      <c r="H23" s="14">
        <f t="shared" si="2"/>
        <v>0</v>
      </c>
      <c r="I23" s="14">
        <f t="shared" si="0"/>
        <v>0</v>
      </c>
      <c r="J23" s="14">
        <f>1694.933184*E23*F23</f>
        <v>1525.4398656</v>
      </c>
      <c r="K23" s="14">
        <f>364.90914432*E23*F23</f>
        <v>328.418229888</v>
      </c>
      <c r="L23" s="14">
        <f>356.0784*E23*F23</f>
        <v>320.47056</v>
      </c>
      <c r="M23" s="14">
        <f t="shared" si="1"/>
        <v>3776.681455488</v>
      </c>
      <c r="N23" s="18">
        <f>IF(N4&gt;0,(M23/$N$4/12),0)</f>
        <v>0.06211238496625222</v>
      </c>
    </row>
    <row r="24" spans="2:14" ht="36">
      <c r="B24" s="9" t="s">
        <v>64</v>
      </c>
      <c r="C24" s="7" t="s">
        <v>65</v>
      </c>
      <c r="D24" s="7" t="s">
        <v>66</v>
      </c>
      <c r="E24" s="11">
        <v>0.8</v>
      </c>
      <c r="F24" s="11">
        <v>2</v>
      </c>
      <c r="G24" s="14">
        <f>712.1568*E24*F24</f>
        <v>1139.45088</v>
      </c>
      <c r="H24" s="14">
        <f t="shared" si="2"/>
        <v>0</v>
      </c>
      <c r="I24" s="14">
        <f t="shared" si="0"/>
        <v>0</v>
      </c>
      <c r="J24" s="14">
        <f>677.9732736*E24*F24</f>
        <v>1084.75723776</v>
      </c>
      <c r="K24" s="14">
        <f>145.963657728*E24*F24</f>
        <v>233.54185236479998</v>
      </c>
      <c r="L24" s="14">
        <f>142.43136*E24*F24</f>
        <v>227.89017600000003</v>
      </c>
      <c r="M24" s="14">
        <f t="shared" si="1"/>
        <v>2685.6401461248</v>
      </c>
      <c r="N24" s="18">
        <f>IF(N4&gt;0,(M24/$N$4/12),0)</f>
        <v>0.04416880708711269</v>
      </c>
    </row>
    <row r="25" spans="2:14" ht="84">
      <c r="B25" s="9" t="s">
        <v>67</v>
      </c>
      <c r="C25" s="7" t="s">
        <v>68</v>
      </c>
      <c r="D25" s="7" t="s">
        <v>69</v>
      </c>
      <c r="E25" s="11">
        <v>0.52</v>
      </c>
      <c r="F25" s="11">
        <v>12</v>
      </c>
      <c r="G25" s="14">
        <f>1463.937552*E25*F25</f>
        <v>9134.97032448</v>
      </c>
      <c r="H25" s="14">
        <f t="shared" si="2"/>
        <v>0</v>
      </c>
      <c r="I25" s="14">
        <f t="shared" si="0"/>
        <v>0</v>
      </c>
      <c r="J25" s="14">
        <f>1393.668549504*E25*F25</f>
        <v>8696.491748904962</v>
      </c>
      <c r="K25" s="14">
        <f>300.04864065792*E25*F25</f>
        <v>1872.3035177054207</v>
      </c>
      <c r="L25" s="14">
        <f>292.7875104*E25*F25</f>
        <v>1826.994064896</v>
      </c>
      <c r="M25" s="14">
        <f t="shared" si="1"/>
        <v>21530.759655986385</v>
      </c>
      <c r="N25" s="18">
        <f>IF(N4&gt;0,(M25/$N$4/12),0)</f>
        <v>0.3541010403260704</v>
      </c>
    </row>
    <row r="26" spans="2:14" ht="19.5" customHeight="1">
      <c r="B26" s="43" t="s">
        <v>70</v>
      </c>
      <c r="C26" s="44"/>
      <c r="D26" s="44"/>
      <c r="E26" s="44"/>
      <c r="F26" s="44"/>
      <c r="G26" s="15">
        <f aca="true" t="shared" si="3" ref="G26:N26">SUM(G6:G25)</f>
        <v>47114.35149602806</v>
      </c>
      <c r="H26" s="15">
        <f t="shared" si="3"/>
        <v>73608.11982212975</v>
      </c>
      <c r="I26" s="15">
        <f t="shared" si="3"/>
        <v>0</v>
      </c>
      <c r="J26" s="15">
        <f t="shared" si="3"/>
        <v>44852.862624218746</v>
      </c>
      <c r="K26" s="15">
        <f t="shared" si="3"/>
        <v>17385.410063949625</v>
      </c>
      <c r="L26" s="15">
        <f t="shared" si="3"/>
        <v>9422.870299205611</v>
      </c>
      <c r="M26" s="15">
        <f t="shared" si="3"/>
        <v>192383.61430553178</v>
      </c>
      <c r="N26" s="19">
        <f t="shared" si="3"/>
        <v>3.1639960250235477</v>
      </c>
    </row>
    <row r="27" spans="2:14" ht="21.75" customHeight="1">
      <c r="B27" s="39" t="s">
        <v>71</v>
      </c>
      <c r="C27" s="40"/>
      <c r="D27" s="40"/>
      <c r="E27" s="40"/>
      <c r="F27" s="40"/>
      <c r="G27" s="41"/>
      <c r="H27" s="41"/>
      <c r="I27" s="41"/>
      <c r="J27" s="41"/>
      <c r="K27" s="41"/>
      <c r="L27" s="41"/>
      <c r="M27" s="41"/>
      <c r="N27" s="42"/>
    </row>
    <row r="28" spans="2:14" ht="36">
      <c r="B28" s="8" t="s">
        <v>72</v>
      </c>
      <c r="C28" s="6" t="s">
        <v>73</v>
      </c>
      <c r="D28" s="6" t="s">
        <v>74</v>
      </c>
      <c r="E28" s="10">
        <v>2.1</v>
      </c>
      <c r="F28" s="10">
        <v>247</v>
      </c>
      <c r="G28" s="13">
        <f>170.7714918*E28*F28</f>
        <v>88579.17279666</v>
      </c>
      <c r="H28" s="13">
        <f>0.8533224*E28*F28</f>
        <v>442.61832888000004</v>
      </c>
      <c r="I28" s="13">
        <f aca="true" t="shared" si="4" ref="I28:I44">0*E28*F28</f>
        <v>0</v>
      </c>
      <c r="J28" s="13">
        <f>162.5744601936*E28*F28</f>
        <v>84327.37250242033</v>
      </c>
      <c r="K28" s="13">
        <f>35.090923811328*E28*F28</f>
        <v>18201.662180935833</v>
      </c>
      <c r="L28" s="13">
        <f>34.15429836*E28*F28</f>
        <v>17715.834559332</v>
      </c>
      <c r="M28" s="13">
        <f aca="true" t="shared" si="5" ref="M28:M69">SUM(G28:L28)</f>
        <v>209266.66036822816</v>
      </c>
      <c r="N28" s="17">
        <f>IF(N4&gt;0,(M28/$N$4/12),0)</f>
        <v>3.4416594363566237</v>
      </c>
    </row>
    <row r="29" spans="2:14" ht="36">
      <c r="B29" s="9" t="s">
        <v>75</v>
      </c>
      <c r="C29" s="7" t="s">
        <v>76</v>
      </c>
      <c r="D29" s="7" t="s">
        <v>77</v>
      </c>
      <c r="E29" s="11">
        <v>4.2</v>
      </c>
      <c r="F29" s="11">
        <v>104</v>
      </c>
      <c r="G29" s="14">
        <f>149.1183018*E29*F29</f>
        <v>65134.87422624001</v>
      </c>
      <c r="H29" s="14">
        <f>0.72952992*E29*F29</f>
        <v>318.658669056</v>
      </c>
      <c r="I29" s="14">
        <f t="shared" si="4"/>
        <v>0</v>
      </c>
      <c r="J29" s="14">
        <f>141.9606233136*E29*F29</f>
        <v>62008.40026338048</v>
      </c>
      <c r="K29" s="14">
        <f>30.639887778528*E29*F29</f>
        <v>13383.50298166103</v>
      </c>
      <c r="L29" s="14">
        <f>29.82366036*E29*F29</f>
        <v>13026.974845248002</v>
      </c>
      <c r="M29" s="14">
        <f t="shared" si="5"/>
        <v>153872.41098558553</v>
      </c>
      <c r="N29" s="18">
        <f>IF(N4&gt;0,(M29/$N$4/12),0)</f>
        <v>2.53062974451657</v>
      </c>
    </row>
    <row r="30" spans="2:14" ht="24">
      <c r="B30" s="9" t="s">
        <v>78</v>
      </c>
      <c r="C30" s="7" t="s">
        <v>79</v>
      </c>
      <c r="D30" s="7" t="s">
        <v>80</v>
      </c>
      <c r="E30" s="11">
        <v>0.01</v>
      </c>
      <c r="F30" s="11">
        <v>247</v>
      </c>
      <c r="G30" s="14">
        <f>144.3546*E30*F30</f>
        <v>356.555862</v>
      </c>
      <c r="H30" s="14">
        <f>0.728532*E30*F30</f>
        <v>1.79947404</v>
      </c>
      <c r="I30" s="14">
        <f t="shared" si="4"/>
        <v>0</v>
      </c>
      <c r="J30" s="14">
        <f>137.4255792*E30*F30</f>
        <v>339.44118062399997</v>
      </c>
      <c r="K30" s="14">
        <f>29.663414676*E30*F30</f>
        <v>73.26863424972</v>
      </c>
      <c r="L30" s="14">
        <f>28.87092*E30*F30</f>
        <v>71.3111724</v>
      </c>
      <c r="M30" s="14">
        <f t="shared" si="5"/>
        <v>842.3763233137199</v>
      </c>
      <c r="N30" s="18">
        <f>IF(N4&gt;0,(M30/$N$4/12),0)</f>
        <v>0.013853962293824747</v>
      </c>
    </row>
    <row r="31" spans="2:14" ht="24">
      <c r="B31" s="9" t="s">
        <v>81</v>
      </c>
      <c r="C31" s="7" t="s">
        <v>82</v>
      </c>
      <c r="D31" s="7" t="s">
        <v>35</v>
      </c>
      <c r="E31" s="11">
        <v>1.2</v>
      </c>
      <c r="F31" s="11">
        <v>2</v>
      </c>
      <c r="G31" s="14">
        <f>129.91914*E31*F31</f>
        <v>311.805936</v>
      </c>
      <c r="H31" s="14">
        <f>3.7655193744*E31*F31</f>
        <v>9.03724649856</v>
      </c>
      <c r="I31" s="14">
        <f t="shared" si="4"/>
        <v>0</v>
      </c>
      <c r="J31" s="14">
        <f>123.68302128*E31*F31</f>
        <v>296.839251072</v>
      </c>
      <c r="K31" s="14">
        <f>27.023606468712*E31*F31</f>
        <v>64.8566555249088</v>
      </c>
      <c r="L31" s="14">
        <f>25.983828*E31*F31</f>
        <v>62.361187199999996</v>
      </c>
      <c r="M31" s="14">
        <f t="shared" si="5"/>
        <v>744.9002762954689</v>
      </c>
      <c r="N31" s="18">
        <f>IF(N4&gt;0,(M31/$N$4/12),0)</f>
        <v>0.012250843304642274</v>
      </c>
    </row>
    <row r="32" spans="2:14" ht="24">
      <c r="B32" s="9" t="s">
        <v>83</v>
      </c>
      <c r="C32" s="7" t="s">
        <v>84</v>
      </c>
      <c r="D32" s="7" t="s">
        <v>85</v>
      </c>
      <c r="E32" s="11">
        <v>1.6</v>
      </c>
      <c r="F32" s="11">
        <v>2</v>
      </c>
      <c r="G32" s="14">
        <f>327.20376048118*E32*F32</f>
        <v>1047.052033539776</v>
      </c>
      <c r="H32" s="14">
        <f>47.20904231652*E32*F32</f>
        <v>151.068935412864</v>
      </c>
      <c r="I32" s="14">
        <f t="shared" si="4"/>
        <v>0</v>
      </c>
      <c r="J32" s="14">
        <f>311.49797997809*E32*F32</f>
        <v>996.793535929888</v>
      </c>
      <c r="K32" s="14">
        <f>72.020632191458*E32*F32</f>
        <v>230.46602301266563</v>
      </c>
      <c r="L32" s="14">
        <f>65.440752096236*E32*F32</f>
        <v>209.4104067079552</v>
      </c>
      <c r="M32" s="14">
        <f t="shared" si="5"/>
        <v>2634.790934603149</v>
      </c>
      <c r="N32" s="18">
        <f>IF(N4&gt;0,(M32/$N$4/12),0)</f>
        <v>0.04333252638976299</v>
      </c>
    </row>
    <row r="33" spans="2:14" ht="24">
      <c r="B33" s="9" t="s">
        <v>86</v>
      </c>
      <c r="C33" s="7" t="s">
        <v>87</v>
      </c>
      <c r="D33" s="7" t="s">
        <v>88</v>
      </c>
      <c r="E33" s="11">
        <v>22.67</v>
      </c>
      <c r="F33" s="11">
        <v>2</v>
      </c>
      <c r="G33" s="14">
        <f>55.335929518818*E33*F33</f>
        <v>2508.9310443832082</v>
      </c>
      <c r="H33" s="14">
        <f>0.295555995*E33*F33</f>
        <v>13.400508813300002</v>
      </c>
      <c r="I33" s="14">
        <f t="shared" si="4"/>
        <v>0</v>
      </c>
      <c r="J33" s="14">
        <f>52.679804901915*E33*F33</f>
        <v>2388.502354252826</v>
      </c>
      <c r="K33" s="14">
        <f>11.372685493652*E33*F33</f>
        <v>515.6375602821818</v>
      </c>
      <c r="L33" s="14">
        <f>11.067185903764*E33*F33</f>
        <v>501.7862088766598</v>
      </c>
      <c r="M33" s="14">
        <f t="shared" si="5"/>
        <v>5928.257676608176</v>
      </c>
      <c r="N33" s="18">
        <f>IF(N4&gt;0,(M33/$N$4/12),0)</f>
        <v>0.09749782377159687</v>
      </c>
    </row>
    <row r="34" spans="2:14" ht="36">
      <c r="B34" s="9" t="s">
        <v>89</v>
      </c>
      <c r="C34" s="7" t="s">
        <v>90</v>
      </c>
      <c r="D34" s="7" t="s">
        <v>91</v>
      </c>
      <c r="E34" s="11">
        <v>0.9</v>
      </c>
      <c r="F34" s="11">
        <v>2</v>
      </c>
      <c r="G34" s="14">
        <f>2855.0297664*E34*F34</f>
        <v>5139.05357952</v>
      </c>
      <c r="H34" s="14">
        <f>4.89235852476*E34*F34</f>
        <v>8.806245344568</v>
      </c>
      <c r="I34" s="14">
        <f t="shared" si="4"/>
        <v>0</v>
      </c>
      <c r="J34" s="14">
        <f>2717.9883376128*E34*F34</f>
        <v>4892.37900770304</v>
      </c>
      <c r="K34" s="14">
        <f>585.68059856644*E34*F34</f>
        <v>1054.225077419592</v>
      </c>
      <c r="L34" s="14">
        <f>571.00595328*E34*F34</f>
        <v>1027.810715904</v>
      </c>
      <c r="M34" s="14">
        <f t="shared" si="5"/>
        <v>12122.274625891201</v>
      </c>
      <c r="N34" s="18">
        <f>IF(N4&gt;0,(M34/$N$4/12),0)</f>
        <v>0.19936640066264064</v>
      </c>
    </row>
    <row r="35" spans="2:14" ht="24">
      <c r="B35" s="9" t="s">
        <v>92</v>
      </c>
      <c r="C35" s="7" t="s">
        <v>93</v>
      </c>
      <c r="D35" s="7" t="s">
        <v>94</v>
      </c>
      <c r="E35" s="11">
        <v>0.32</v>
      </c>
      <c r="F35" s="11">
        <v>12</v>
      </c>
      <c r="G35" s="14">
        <f>154.459422*E35*F35</f>
        <v>593.12418048</v>
      </c>
      <c r="H35" s="14">
        <f>89.56773*E35*F35</f>
        <v>343.9400832</v>
      </c>
      <c r="I35" s="14">
        <f t="shared" si="4"/>
        <v>0</v>
      </c>
      <c r="J35" s="14">
        <f>147.045369744*E35*F35</f>
        <v>564.65421981696</v>
      </c>
      <c r="K35" s="14">
        <f>41.06261478312*E35*F35</f>
        <v>157.6804407671808</v>
      </c>
      <c r="L35" s="14">
        <f>30.8918844*E35*F35</f>
        <v>118.624836096</v>
      </c>
      <c r="M35" s="14">
        <f t="shared" si="5"/>
        <v>1778.0237603601406</v>
      </c>
      <c r="N35" s="18">
        <f>IF(N4&gt;0,(M35/$N$4/12),0)</f>
        <v>0.02924188803960497</v>
      </c>
    </row>
    <row r="36" spans="2:14" ht="60">
      <c r="B36" s="9" t="s">
        <v>95</v>
      </c>
      <c r="C36" s="7" t="s">
        <v>96</v>
      </c>
      <c r="D36" s="7" t="s">
        <v>97</v>
      </c>
      <c r="E36" s="11">
        <v>0.52</v>
      </c>
      <c r="F36" s="11">
        <v>12</v>
      </c>
      <c r="G36" s="14">
        <f>194.87871*E36*F36</f>
        <v>1216.0431504000003</v>
      </c>
      <c r="H36" s="14">
        <f>89.56773*E36*F36</f>
        <v>558.9026352</v>
      </c>
      <c r="I36" s="14">
        <f t="shared" si="4"/>
        <v>0</v>
      </c>
      <c r="J36" s="14">
        <f>185.52453192*E36*F36</f>
        <v>1157.6730791808</v>
      </c>
      <c r="K36" s="14">
        <f>49.3469520516*E36*F36</f>
        <v>307.924980801984</v>
      </c>
      <c r="L36" s="14">
        <f>38.975742*E36*F36</f>
        <v>243.20863007999998</v>
      </c>
      <c r="M36" s="14">
        <f t="shared" si="5"/>
        <v>3483.7524756627845</v>
      </c>
      <c r="N36" s="18">
        <f>IF(N4&gt;0,(M36/$N$4/12),0)</f>
        <v>0.05729479106083127</v>
      </c>
    </row>
    <row r="37" spans="2:14" ht="24">
      <c r="B37" s="9" t="s">
        <v>98</v>
      </c>
      <c r="C37" s="7" t="s">
        <v>99</v>
      </c>
      <c r="D37" s="7" t="s">
        <v>100</v>
      </c>
      <c r="E37" s="11">
        <v>0.14</v>
      </c>
      <c r="F37" s="11">
        <v>12</v>
      </c>
      <c r="G37" s="14">
        <f>262.725372*E37*F37</f>
        <v>441.37862496</v>
      </c>
      <c r="H37" s="14">
        <f>89.56773*E37*F37</f>
        <v>150.4737864</v>
      </c>
      <c r="I37" s="14">
        <f t="shared" si="4"/>
        <v>0</v>
      </c>
      <c r="J37" s="14">
        <f>250.114554144*E37*F37</f>
        <v>420.19245096192003</v>
      </c>
      <c r="K37" s="14">
        <f>63.25280389512*E37*F37</f>
        <v>106.26471054380161</v>
      </c>
      <c r="L37" s="14">
        <f>52.5450744*E37*F37</f>
        <v>88.27572499200001</v>
      </c>
      <c r="M37" s="14">
        <f t="shared" si="5"/>
        <v>1206.5852978577218</v>
      </c>
      <c r="N37" s="18">
        <f>IF(N4&gt;0,(M37/$N$4/12),0)</f>
        <v>0.019843847409014567</v>
      </c>
    </row>
    <row r="38" spans="2:14" ht="12">
      <c r="B38" s="9" t="s">
        <v>101</v>
      </c>
      <c r="C38" s="7" t="s">
        <v>102</v>
      </c>
      <c r="D38" s="7" t="s">
        <v>103</v>
      </c>
      <c r="E38" s="11">
        <v>14</v>
      </c>
      <c r="F38" s="11">
        <v>2</v>
      </c>
      <c r="G38" s="14">
        <f>218.92818636*E38*F38</f>
        <v>6129.989218080001</v>
      </c>
      <c r="H38" s="14">
        <f>89.56773*E38*F38</f>
        <v>2507.89644</v>
      </c>
      <c r="I38" s="14">
        <f t="shared" si="4"/>
        <v>0</v>
      </c>
      <c r="J38" s="14">
        <f>208.41963341472*E38*F38</f>
        <v>5835.74973561216</v>
      </c>
      <c r="K38" s="14">
        <f>54.276132726346*E38*F38</f>
        <v>1519.7317163376879</v>
      </c>
      <c r="L38" s="14">
        <f>43.785637272*E38*F38</f>
        <v>1225.997843616</v>
      </c>
      <c r="M38" s="14">
        <f t="shared" si="5"/>
        <v>17219.364953645847</v>
      </c>
      <c r="N38" s="18">
        <f>IF(N4&gt;0,(M38/$N$4/12),0)</f>
        <v>0.28319460814495506</v>
      </c>
    </row>
    <row r="39" spans="2:14" ht="36">
      <c r="B39" s="9" t="s">
        <v>104</v>
      </c>
      <c r="C39" s="7" t="s">
        <v>105</v>
      </c>
      <c r="D39" s="7" t="s">
        <v>106</v>
      </c>
      <c r="E39" s="11">
        <v>0.48</v>
      </c>
      <c r="F39" s="11">
        <v>12</v>
      </c>
      <c r="G39" s="14">
        <f>411.41061*E39*F39</f>
        <v>2369.7251136</v>
      </c>
      <c r="H39" s="14">
        <f>89.56773*E39*F39</f>
        <v>515.9101248</v>
      </c>
      <c r="I39" s="14">
        <f t="shared" si="4"/>
        <v>0</v>
      </c>
      <c r="J39" s="14">
        <f>391.66290072*E39*F39</f>
        <v>2255.9783081471996</v>
      </c>
      <c r="K39" s="14">
        <f>93.7273302756*E39*F39</f>
        <v>539.869422387456</v>
      </c>
      <c r="L39" s="14">
        <f>82.282122*E39*F39</f>
        <v>473.94502272</v>
      </c>
      <c r="M39" s="14">
        <f t="shared" si="5"/>
        <v>6155.427991654657</v>
      </c>
      <c r="N39" s="18">
        <f>IF(N4&gt;0,(M39/$N$4/12),0)</f>
        <v>0.10123393184090941</v>
      </c>
    </row>
    <row r="40" spans="2:14" ht="24">
      <c r="B40" s="9" t="s">
        <v>107</v>
      </c>
      <c r="C40" s="7" t="s">
        <v>108</v>
      </c>
      <c r="D40" s="7" t="s">
        <v>109</v>
      </c>
      <c r="E40" s="11">
        <v>1.5</v>
      </c>
      <c r="F40" s="11">
        <v>247</v>
      </c>
      <c r="G40" s="14">
        <f>176.975652*E40*F40</f>
        <v>65569.479066</v>
      </c>
      <c r="H40" s="14">
        <f>4.2835842*E40*F40</f>
        <v>1587.0679461</v>
      </c>
      <c r="I40" s="14">
        <f t="shared" si="4"/>
        <v>0</v>
      </c>
      <c r="J40" s="14">
        <f>168.480820704*E40*F40</f>
        <v>62422.144070832</v>
      </c>
      <c r="K40" s="14">
        <f>36.72270597492*E40*F40</f>
        <v>13605.76256370786</v>
      </c>
      <c r="L40" s="14">
        <f>35.3951304*E40*F40</f>
        <v>13113.895813199999</v>
      </c>
      <c r="M40" s="14">
        <f t="shared" si="5"/>
        <v>156298.34945983987</v>
      </c>
      <c r="N40" s="18">
        <f>IF(N4&gt;0,(M40/$N$4/12),0)</f>
        <v>2.5705274235221345</v>
      </c>
    </row>
    <row r="41" spans="2:14" ht="24">
      <c r="B41" s="9" t="s">
        <v>110</v>
      </c>
      <c r="C41" s="7" t="s">
        <v>111</v>
      </c>
      <c r="D41" s="7" t="s">
        <v>112</v>
      </c>
      <c r="E41" s="11">
        <v>0.008</v>
      </c>
      <c r="F41" s="11">
        <v>52</v>
      </c>
      <c r="G41" s="14">
        <f>8871.403548*E41*F41</f>
        <v>3690.503875968</v>
      </c>
      <c r="H41" s="14">
        <f>16.632*E41*F41</f>
        <v>6.918912000000001</v>
      </c>
      <c r="I41" s="14">
        <f t="shared" si="4"/>
        <v>0</v>
      </c>
      <c r="J41" s="14">
        <f>8445.576177696*E41*F41</f>
        <v>3513.3596899215363</v>
      </c>
      <c r="K41" s="14">
        <f>1820.0292311981*E41*F41</f>
        <v>757.1321601784097</v>
      </c>
      <c r="L41" s="14">
        <f>1774.2807096*E41*F41</f>
        <v>738.1007751935999</v>
      </c>
      <c r="M41" s="14">
        <f t="shared" si="5"/>
        <v>8706.015413261546</v>
      </c>
      <c r="N41" s="18">
        <f>IF(N4&gt;0,(M41/$N$4/12),0)</f>
        <v>0.14318162313764796</v>
      </c>
    </row>
    <row r="42" spans="2:14" ht="24">
      <c r="B42" s="9" t="s">
        <v>113</v>
      </c>
      <c r="C42" s="7" t="s">
        <v>114</v>
      </c>
      <c r="D42" s="7" t="s">
        <v>112</v>
      </c>
      <c r="E42" s="11">
        <v>0.004</v>
      </c>
      <c r="F42" s="11">
        <v>12</v>
      </c>
      <c r="G42" s="14">
        <f>155242.243548*E42*F42</f>
        <v>7451.627690304</v>
      </c>
      <c r="H42" s="14">
        <f>1074.4249824*E42*F42</f>
        <v>51.5723991552</v>
      </c>
      <c r="I42" s="14">
        <f t="shared" si="4"/>
        <v>0</v>
      </c>
      <c r="J42" s="14">
        <f>147790.6158577*E42*F42</f>
        <v>7093.9495611696</v>
      </c>
      <c r="K42" s="14">
        <f>31931.26486075*E42*F42</f>
        <v>1532.700713316</v>
      </c>
      <c r="L42" s="14">
        <f>31048.4487096*E42*F42</f>
        <v>1490.3255380608002</v>
      </c>
      <c r="M42" s="14">
        <f t="shared" si="5"/>
        <v>17620.1759020056</v>
      </c>
      <c r="N42" s="18">
        <f>IF(N4&gt;0,(M42/$N$4/12),0)</f>
        <v>0.2897864598053681</v>
      </c>
    </row>
    <row r="43" spans="2:14" ht="12">
      <c r="B43" s="9" t="s">
        <v>115</v>
      </c>
      <c r="C43" s="7" t="s">
        <v>116</v>
      </c>
      <c r="D43" s="7" t="s">
        <v>117</v>
      </c>
      <c r="E43" s="11">
        <v>0.016</v>
      </c>
      <c r="F43" s="11">
        <v>12</v>
      </c>
      <c r="G43" s="14">
        <f>17076.154452*E43*F43</f>
        <v>3278.6216547840004</v>
      </c>
      <c r="H43" s="14">
        <f>117.281304*E43*F43</f>
        <v>22.518010368</v>
      </c>
      <c r="I43" s="14">
        <f t="shared" si="4"/>
        <v>0</v>
      </c>
      <c r="J43" s="14">
        <f>16256.499038304*E43*F43</f>
        <v>3121.247815354368</v>
      </c>
      <c r="K43" s="14">
        <f>3512.2431534019*E43*F43</f>
        <v>674.3506854531648</v>
      </c>
      <c r="L43" s="14">
        <f>3415.2308904*E43*F43</f>
        <v>655.7243309568</v>
      </c>
      <c r="M43" s="14">
        <f t="shared" si="5"/>
        <v>7752.462496916333</v>
      </c>
      <c r="N43" s="18">
        <f>IF(N4&gt;0,(M43/$N$4/12),0)</f>
        <v>0.1274992187506798</v>
      </c>
    </row>
    <row r="44" spans="2:14" ht="12">
      <c r="B44" s="9" t="s">
        <v>118</v>
      </c>
      <c r="C44" s="7" t="s">
        <v>119</v>
      </c>
      <c r="D44" s="7" t="s">
        <v>120</v>
      </c>
      <c r="E44" s="11">
        <v>0.008</v>
      </c>
      <c r="F44" s="11">
        <v>104</v>
      </c>
      <c r="G44" s="14">
        <f>13306.44*E44*F44</f>
        <v>11070.95808</v>
      </c>
      <c r="H44" s="14">
        <f>27.72*E44*F44</f>
        <v>23.063039999999997</v>
      </c>
      <c r="I44" s="14">
        <f t="shared" si="4"/>
        <v>0</v>
      </c>
      <c r="J44" s="14">
        <f>12667.73088*E44*F44</f>
        <v>10539.552092159998</v>
      </c>
      <c r="K44" s="14">
        <f>2730.1985424*E44*F44</f>
        <v>2271.5251872768004</v>
      </c>
      <c r="L44" s="14">
        <f>2661.288*E44*F44</f>
        <v>2214.191616</v>
      </c>
      <c r="M44" s="14">
        <f t="shared" si="5"/>
        <v>26119.2900154368</v>
      </c>
      <c r="N44" s="18">
        <f>IF(N4&gt;0,(M44/$N$4/12),0)</f>
        <v>0.4295653249035721</v>
      </c>
    </row>
    <row r="45" spans="2:14" ht="12">
      <c r="B45" s="9" t="s">
        <v>121</v>
      </c>
      <c r="C45" s="7" t="s">
        <v>122</v>
      </c>
      <c r="D45" s="7" t="s">
        <v>123</v>
      </c>
      <c r="E45" s="11">
        <v>2.2</v>
      </c>
      <c r="F45" s="11">
        <v>12</v>
      </c>
      <c r="G45" s="14">
        <f>154.707112*E45*F45</f>
        <v>4084.2677568</v>
      </c>
      <c r="H45" s="14">
        <f>39.093768*E45*F45</f>
        <v>1032.0754752</v>
      </c>
      <c r="I45" s="14">
        <f>54.708*E45*F45</f>
        <v>1444.2912000000001</v>
      </c>
      <c r="J45" s="14">
        <f>147.281170624*E45*F45</f>
        <v>3888.2229044736</v>
      </c>
      <c r="K45" s="14">
        <f>41.55795531552*E45*F45</f>
        <v>1097.130020329728</v>
      </c>
      <c r="L45" s="14">
        <f>30.9414224*E45*F45</f>
        <v>816.8535513600001</v>
      </c>
      <c r="M45" s="14">
        <f t="shared" si="5"/>
        <v>12362.840908163329</v>
      </c>
      <c r="N45" s="18">
        <f>IF(N4&gt;0,(M45/$N$4/12),0)</f>
        <v>0.2033228226459333</v>
      </c>
    </row>
    <row r="46" spans="2:14" ht="12">
      <c r="B46" s="9" t="s">
        <v>124</v>
      </c>
      <c r="C46" s="7" t="s">
        <v>125</v>
      </c>
      <c r="D46" s="7" t="s">
        <v>126</v>
      </c>
      <c r="E46" s="11">
        <v>0.03</v>
      </c>
      <c r="F46" s="11">
        <v>2</v>
      </c>
      <c r="G46" s="14">
        <f>23380.324*E46*F46</f>
        <v>1402.81944</v>
      </c>
      <c r="H46" s="14">
        <f>0*E46*F46</f>
        <v>0</v>
      </c>
      <c r="I46" s="14">
        <f>161198.9832*E46*F46</f>
        <v>9671.938992</v>
      </c>
      <c r="J46" s="14">
        <f>66499.0826752*E46*F46</f>
        <v>3989.944960512</v>
      </c>
      <c r="K46" s="14">
        <f>26363.230936896*E46*F46</f>
        <v>1581.7938562137601</v>
      </c>
      <c r="L46" s="14">
        <f>13970.39552*E46*F46</f>
        <v>838.2237312</v>
      </c>
      <c r="M46" s="14">
        <f t="shared" si="5"/>
        <v>17484.720979925758</v>
      </c>
      <c r="N46" s="18">
        <f>IF(N4&gt;0,(M46/$N$4/12),0)</f>
        <v>0.28755872935868954</v>
      </c>
    </row>
    <row r="47" spans="2:14" ht="12">
      <c r="B47" s="9" t="s">
        <v>127</v>
      </c>
      <c r="C47" s="7" t="s">
        <v>128</v>
      </c>
      <c r="D47" s="7" t="s">
        <v>126</v>
      </c>
      <c r="E47" s="11">
        <v>0.03</v>
      </c>
      <c r="F47" s="11">
        <v>2</v>
      </c>
      <c r="G47" s="14">
        <f>11839.83*E47*F47</f>
        <v>710.3897999999999</v>
      </c>
      <c r="H47" s="14">
        <f>0*E47*F47</f>
        <v>0</v>
      </c>
      <c r="I47" s="14">
        <f aca="true" t="shared" si="6" ref="I47:I58">0*E47*F47</f>
        <v>0</v>
      </c>
      <c r="J47" s="14">
        <f>11271.51816*E47*F47</f>
        <v>676.2910896</v>
      </c>
      <c r="K47" s="14">
        <f>2426.6915568*E47*F47</f>
        <v>145.60149340799998</v>
      </c>
      <c r="L47" s="14">
        <f>2367.966*E47*F47</f>
        <v>142.07796</v>
      </c>
      <c r="M47" s="14">
        <f t="shared" si="5"/>
        <v>1674.3603430079997</v>
      </c>
      <c r="N47" s="18">
        <f>IF(N4&gt;0,(M47/$N$4/12),0)</f>
        <v>0.02753700978567199</v>
      </c>
    </row>
    <row r="48" spans="2:14" ht="12">
      <c r="B48" s="9" t="s">
        <v>129</v>
      </c>
      <c r="C48" s="7" t="s">
        <v>130</v>
      </c>
      <c r="D48" s="7" t="s">
        <v>126</v>
      </c>
      <c r="E48" s="11">
        <v>0.03</v>
      </c>
      <c r="F48" s="11">
        <v>2</v>
      </c>
      <c r="G48" s="14">
        <f>14181.508*E48*F48</f>
        <v>850.8904799999999</v>
      </c>
      <c r="H48" s="14">
        <f>0*E48*F48</f>
        <v>0</v>
      </c>
      <c r="I48" s="14">
        <f t="shared" si="6"/>
        <v>0</v>
      </c>
      <c r="J48" s="14">
        <f>13500.795616*E48*F48</f>
        <v>810.04773696</v>
      </c>
      <c r="K48" s="14">
        <f>2906.64187968*E48*F48</f>
        <v>174.3985127808</v>
      </c>
      <c r="L48" s="14">
        <f>2836.3016*E48*F48</f>
        <v>170.17809599999998</v>
      </c>
      <c r="M48" s="14">
        <f t="shared" si="5"/>
        <v>2005.5148257408</v>
      </c>
      <c r="N48" s="18">
        <f>IF(N4&gt;0,(M48/$N$4/12),0)</f>
        <v>0.03298327126078548</v>
      </c>
    </row>
    <row r="49" spans="2:14" ht="12">
      <c r="B49" s="9" t="s">
        <v>131</v>
      </c>
      <c r="C49" s="7" t="s">
        <v>132</v>
      </c>
      <c r="D49" s="7" t="s">
        <v>133</v>
      </c>
      <c r="E49" s="11">
        <v>0.06</v>
      </c>
      <c r="F49" s="11">
        <v>2</v>
      </c>
      <c r="G49" s="14">
        <f>27708.048*E49*F49</f>
        <v>3324.9657599999996</v>
      </c>
      <c r="H49" s="14">
        <f>0*E49*F49</f>
        <v>0</v>
      </c>
      <c r="I49" s="14">
        <f t="shared" si="6"/>
        <v>0</v>
      </c>
      <c r="J49" s="14">
        <f>26378.061696*E49*F49</f>
        <v>3165.36740352</v>
      </c>
      <c r="K49" s="14">
        <f>5679.04151808*E49*F49</f>
        <v>681.4849821696</v>
      </c>
      <c r="L49" s="14">
        <f>5541.6096*E49*F49</f>
        <v>664.9931519999999</v>
      </c>
      <c r="M49" s="14">
        <f t="shared" si="5"/>
        <v>7836.811297689599</v>
      </c>
      <c r="N49" s="18">
        <f>IF(N4&gt;0,(M49/$N$4/12),0)</f>
        <v>0.12888644328809945</v>
      </c>
    </row>
    <row r="50" spans="2:14" ht="12">
      <c r="B50" s="9" t="s">
        <v>134</v>
      </c>
      <c r="C50" s="7" t="s">
        <v>135</v>
      </c>
      <c r="D50" s="7" t="s">
        <v>136</v>
      </c>
      <c r="E50" s="11">
        <v>4</v>
      </c>
      <c r="F50" s="11">
        <v>2</v>
      </c>
      <c r="G50" s="14">
        <f>80.838576*E50*F50</f>
        <v>646.708608</v>
      </c>
      <c r="H50" s="14">
        <f>29.882859552*E50*F50</f>
        <v>239.062876416</v>
      </c>
      <c r="I50" s="14">
        <f t="shared" si="6"/>
        <v>0</v>
      </c>
      <c r="J50" s="14">
        <f>76.958324352*E50*F50</f>
        <v>615.666594816</v>
      </c>
      <c r="K50" s="14">
        <f>19.70637478992*E50*F50</f>
        <v>157.65099831936</v>
      </c>
      <c r="L50" s="14">
        <f>16.1677152*E50*F50</f>
        <v>129.3417216</v>
      </c>
      <c r="M50" s="14">
        <f t="shared" si="5"/>
        <v>1788.4307991513601</v>
      </c>
      <c r="N50" s="18">
        <f>IF(N4&gt;0,(M50/$N$4/12),0)</f>
        <v>0.029413045180438132</v>
      </c>
    </row>
    <row r="51" spans="2:14" ht="12">
      <c r="B51" s="9" t="s">
        <v>137</v>
      </c>
      <c r="C51" s="7" t="s">
        <v>138</v>
      </c>
      <c r="D51" s="7" t="s">
        <v>139</v>
      </c>
      <c r="E51" s="11">
        <v>1</v>
      </c>
      <c r="F51" s="11">
        <v>2</v>
      </c>
      <c r="G51" s="14">
        <f>190.548072*E51*F51</f>
        <v>381.096144</v>
      </c>
      <c r="H51" s="14">
        <f>42.46140276*E51*F51</f>
        <v>84.92280552</v>
      </c>
      <c r="I51" s="14">
        <f t="shared" si="6"/>
        <v>0</v>
      </c>
      <c r="J51" s="14">
        <f>181.401764544*E51*F51</f>
        <v>362.803529088</v>
      </c>
      <c r="K51" s="14">
        <f>43.51318012692*E51*F51</f>
        <v>87.02636025384</v>
      </c>
      <c r="L51" s="14">
        <f>38.1096144*E51*F51</f>
        <v>76.2192288</v>
      </c>
      <c r="M51" s="14">
        <f t="shared" si="5"/>
        <v>992.06806766184</v>
      </c>
      <c r="N51" s="18">
        <f>IF(N4&gt;0,(M51/$N$4/12),0)</f>
        <v>0.016315835597359385</v>
      </c>
    </row>
    <row r="52" spans="2:14" ht="12">
      <c r="B52" s="9" t="s">
        <v>140</v>
      </c>
      <c r="C52" s="7" t="s">
        <v>141</v>
      </c>
      <c r="D52" s="7" t="s">
        <v>142</v>
      </c>
      <c r="E52" s="11">
        <v>1</v>
      </c>
      <c r="F52" s="11">
        <v>2</v>
      </c>
      <c r="G52" s="14">
        <f>86.61276*E52*F52</f>
        <v>173.22552</v>
      </c>
      <c r="H52" s="14">
        <f>49.409222688*E52*F52</f>
        <v>98.818445376</v>
      </c>
      <c r="I52" s="14">
        <f t="shared" si="6"/>
        <v>0</v>
      </c>
      <c r="J52" s="14">
        <f>82.45534752*E52*F52</f>
        <v>164.91069504</v>
      </c>
      <c r="K52" s="14">
        <f>22.94011967184*E52*F52</f>
        <v>45.88023934368</v>
      </c>
      <c r="L52" s="14">
        <f>17.322552*E52*F52</f>
        <v>34.645104</v>
      </c>
      <c r="M52" s="14">
        <f t="shared" si="5"/>
        <v>517.4800037596799</v>
      </c>
      <c r="N52" s="18">
        <f>IF(N4&gt;0,(M52/$N$4/12),0)</f>
        <v>0.008510624362865598</v>
      </c>
    </row>
    <row r="53" spans="2:14" ht="12">
      <c r="B53" s="9" t="s">
        <v>143</v>
      </c>
      <c r="C53" s="7" t="s">
        <v>144</v>
      </c>
      <c r="D53" s="7" t="s">
        <v>145</v>
      </c>
      <c r="E53" s="11">
        <v>1</v>
      </c>
      <c r="F53" s="11">
        <v>2</v>
      </c>
      <c r="G53" s="14">
        <f>200.652894*E53*F53</f>
        <v>401.305788</v>
      </c>
      <c r="H53" s="14">
        <f>42.46140276*E53*F53</f>
        <v>84.92280552</v>
      </c>
      <c r="I53" s="14">
        <f t="shared" si="6"/>
        <v>0</v>
      </c>
      <c r="J53" s="14">
        <f>191.021555088*E53*F53</f>
        <v>382.043110176</v>
      </c>
      <c r="K53" s="14">
        <f>45.58426444404*E53*F53</f>
        <v>91.16852888808</v>
      </c>
      <c r="L53" s="14">
        <f>40.1305788*E53*F53</f>
        <v>80.2611576</v>
      </c>
      <c r="M53" s="14">
        <f t="shared" si="5"/>
        <v>1039.70139018408</v>
      </c>
      <c r="N53" s="18">
        <f>IF(N4&gt;0,(M53/$N$4/12),0)</f>
        <v>0.01709922686310243</v>
      </c>
    </row>
    <row r="54" spans="2:14" ht="12">
      <c r="B54" s="9" t="s">
        <v>146</v>
      </c>
      <c r="C54" s="7" t="s">
        <v>147</v>
      </c>
      <c r="D54" s="7" t="s">
        <v>148</v>
      </c>
      <c r="E54" s="11">
        <v>1</v>
      </c>
      <c r="F54" s="11">
        <v>2</v>
      </c>
      <c r="G54" s="14">
        <f>92.386944*E54*F54</f>
        <v>184.773888</v>
      </c>
      <c r="H54" s="14">
        <f>20.521872504*E54*F54</f>
        <v>41.043745008</v>
      </c>
      <c r="I54" s="14">
        <f t="shared" si="6"/>
        <v>0</v>
      </c>
      <c r="J54" s="14">
        <f>87.952370688*E54*F54</f>
        <v>175.904741376</v>
      </c>
      <c r="K54" s="14">
        <f>21.09042465516*E54*F54</f>
        <v>42.18084931032</v>
      </c>
      <c r="L54" s="14">
        <f>18.4773888*E54*F54</f>
        <v>36.9547776</v>
      </c>
      <c r="M54" s="14">
        <f t="shared" si="5"/>
        <v>480.85800129432</v>
      </c>
      <c r="N54" s="18">
        <f>IF(N4&gt;0,(M54/$N$4/12),0)</f>
        <v>0.007908328420734162</v>
      </c>
    </row>
    <row r="55" spans="2:14" ht="24">
      <c r="B55" s="9" t="s">
        <v>149</v>
      </c>
      <c r="C55" s="7" t="s">
        <v>150</v>
      </c>
      <c r="D55" s="7" t="s">
        <v>151</v>
      </c>
      <c r="E55" s="11">
        <v>64.8</v>
      </c>
      <c r="F55" s="11">
        <v>1</v>
      </c>
      <c r="G55" s="14">
        <f>187.66098*E55*F55</f>
        <v>12160.431503999998</v>
      </c>
      <c r="H55" s="14">
        <f>24.77484576*E55*F55</f>
        <v>1605.410005248</v>
      </c>
      <c r="I55" s="14">
        <f t="shared" si="6"/>
        <v>0</v>
      </c>
      <c r="J55" s="14">
        <f>178.65325296*E55*F55</f>
        <v>11576.730791808</v>
      </c>
      <c r="K55" s="14">
        <f>41.0643532656*E55*F55</f>
        <v>2660.9700916108795</v>
      </c>
      <c r="L55" s="14">
        <f>37.532196*E55*F55</f>
        <v>2432.0863007999997</v>
      </c>
      <c r="M55" s="14">
        <f t="shared" si="5"/>
        <v>30435.628693466882</v>
      </c>
      <c r="N55" s="18">
        <f>IF(N4&gt;0,(M55/$N$4/12),0)</f>
        <v>0.5005530671249734</v>
      </c>
    </row>
    <row r="56" spans="2:14" ht="12">
      <c r="B56" s="9" t="s">
        <v>152</v>
      </c>
      <c r="C56" s="7" t="s">
        <v>153</v>
      </c>
      <c r="D56" s="7" t="s">
        <v>151</v>
      </c>
      <c r="E56" s="11">
        <v>49.6</v>
      </c>
      <c r="F56" s="11">
        <v>1</v>
      </c>
      <c r="G56" s="14">
        <f>31.758012*E56*F56</f>
        <v>1575.1973952</v>
      </c>
      <c r="H56" s="14">
        <f>19.315288944*E56*F56</f>
        <v>958.0383316223999</v>
      </c>
      <c r="I56" s="14">
        <f t="shared" si="6"/>
        <v>0</v>
      </c>
      <c r="J56" s="14">
        <f>30.233627424*E56*F56</f>
        <v>1499.5879202304002</v>
      </c>
      <c r="K56" s="14">
        <f>8.53722747864*E56*F56</f>
        <v>423.446482940544</v>
      </c>
      <c r="L56" s="14">
        <f>6.3516024*E56*F56</f>
        <v>315.03947904</v>
      </c>
      <c r="M56" s="14">
        <f t="shared" si="5"/>
        <v>4771.309609033344</v>
      </c>
      <c r="N56" s="18">
        <f>IF(N4&gt;0,(M56/$N$4/12),0)</f>
        <v>0.07847032446933333</v>
      </c>
    </row>
    <row r="57" spans="2:14" ht="36">
      <c r="B57" s="9" t="s">
        <v>154</v>
      </c>
      <c r="C57" s="7" t="s">
        <v>155</v>
      </c>
      <c r="D57" s="7" t="s">
        <v>156</v>
      </c>
      <c r="E57" s="11">
        <v>0.2</v>
      </c>
      <c r="F57" s="11">
        <v>12</v>
      </c>
      <c r="G57" s="14">
        <f>3104.392452*E57*F57</f>
        <v>7450.541884800001</v>
      </c>
      <c r="H57" s="14">
        <f>85.85136*E57*F57</f>
        <v>206.04326400000002</v>
      </c>
      <c r="I57" s="14">
        <f t="shared" si="6"/>
        <v>0</v>
      </c>
      <c r="J57" s="14">
        <f>2955.381614304*E57*F57</f>
        <v>7092.9158743296</v>
      </c>
      <c r="K57" s="14">
        <f>645.29066976192*E57*F57</f>
        <v>1548.697607428608</v>
      </c>
      <c r="L57" s="14">
        <f>620.8784904*E57*F57</f>
        <v>1490.1083769600002</v>
      </c>
      <c r="M57" s="14">
        <f t="shared" si="5"/>
        <v>17788.307007518208</v>
      </c>
      <c r="N57" s="18">
        <f>IF(N4&gt;0,(M57/$N$4/12),0)</f>
        <v>0.29255159212417287</v>
      </c>
    </row>
    <row r="58" spans="2:14" ht="36">
      <c r="B58" s="9" t="s">
        <v>157</v>
      </c>
      <c r="C58" s="7" t="s">
        <v>158</v>
      </c>
      <c r="D58" s="7" t="s">
        <v>156</v>
      </c>
      <c r="E58" s="11">
        <v>0.19</v>
      </c>
      <c r="F58" s="11">
        <v>5</v>
      </c>
      <c r="G58" s="14">
        <f>13528.657548*E58*F58</f>
        <v>12852.224670599999</v>
      </c>
      <c r="H58" s="14">
        <f>282.0384*E58*F58</f>
        <v>267.93648</v>
      </c>
      <c r="I58" s="14">
        <f t="shared" si="6"/>
        <v>0</v>
      </c>
      <c r="J58" s="14">
        <f>12879.281985696*E58*F58</f>
        <v>12235.317886411198</v>
      </c>
      <c r="K58" s="14">
        <f>2802.4476830381*E58*F58</f>
        <v>2662.325298886195</v>
      </c>
      <c r="L58" s="14">
        <f>2705.7315096*E58*F58</f>
        <v>2570.44493412</v>
      </c>
      <c r="M58" s="14">
        <f t="shared" si="5"/>
        <v>30588.24927001739</v>
      </c>
      <c r="N58" s="18">
        <f>IF(N4&gt;0,(M58/$N$4/12),0)</f>
        <v>0.5030631088418096</v>
      </c>
    </row>
    <row r="59" spans="2:14" ht="24">
      <c r="B59" s="9" t="s">
        <v>159</v>
      </c>
      <c r="C59" s="7" t="s">
        <v>160</v>
      </c>
      <c r="D59" s="7" t="s">
        <v>161</v>
      </c>
      <c r="E59" s="11">
        <v>1.8</v>
      </c>
      <c r="F59" s="11">
        <v>12</v>
      </c>
      <c r="G59" s="14">
        <f>0*E59*F59</f>
        <v>0</v>
      </c>
      <c r="H59" s="14">
        <f>0*E59*F59</f>
        <v>0</v>
      </c>
      <c r="I59" s="14">
        <f>201.2582488*E59*F59</f>
        <v>4347.17817408</v>
      </c>
      <c r="J59" s="14">
        <f>46.6195633792*E59*F59</f>
        <v>1006.9825689907202</v>
      </c>
      <c r="K59" s="14">
        <f>26.027170278816*E59*F59</f>
        <v>562.1868780224256</v>
      </c>
      <c r="L59" s="14">
        <f>9.79402592*E59*F59</f>
        <v>211.550959872</v>
      </c>
      <c r="M59" s="14">
        <f t="shared" si="5"/>
        <v>6127.898580965146</v>
      </c>
      <c r="N59" s="18">
        <f>IF(N4&gt;0,(M59/$N$4/12),0)</f>
        <v>0.10078117526750124</v>
      </c>
    </row>
    <row r="60" spans="2:14" ht="24">
      <c r="B60" s="9" t="s">
        <v>162</v>
      </c>
      <c r="C60" s="7" t="s">
        <v>163</v>
      </c>
      <c r="D60" s="7" t="s">
        <v>161</v>
      </c>
      <c r="E60" s="11">
        <v>3.1</v>
      </c>
      <c r="F60" s="11">
        <v>24</v>
      </c>
      <c r="G60" s="14">
        <f>0*E60*F60</f>
        <v>0</v>
      </c>
      <c r="H60" s="14">
        <f>0*E60*F60</f>
        <v>0</v>
      </c>
      <c r="I60" s="14">
        <f>44.1057024*E60*F60</f>
        <v>3281.4642585600004</v>
      </c>
      <c r="J60" s="14">
        <f>13.0800961536*E60*F60</f>
        <v>973.1591538278401</v>
      </c>
      <c r="K60" s="14">
        <f>6.004508848128*E60*F60</f>
        <v>446.7354583007232</v>
      </c>
      <c r="L60" s="14">
        <f>2.74791936*E60*F60</f>
        <v>204.44520038400003</v>
      </c>
      <c r="M60" s="14">
        <f t="shared" si="5"/>
        <v>4905.804071072564</v>
      </c>
      <c r="N60" s="18">
        <f>IF(N4&gt;0,(M60/$N$4/12),0)</f>
        <v>0.08068225891508064</v>
      </c>
    </row>
    <row r="61" spans="2:14" ht="24">
      <c r="B61" s="9" t="s">
        <v>164</v>
      </c>
      <c r="C61" s="7" t="s">
        <v>165</v>
      </c>
      <c r="D61" s="7" t="s">
        <v>161</v>
      </c>
      <c r="E61" s="11">
        <v>3.1</v>
      </c>
      <c r="F61" s="11">
        <v>12</v>
      </c>
      <c r="G61" s="14">
        <f>0*E61*F61</f>
        <v>0</v>
      </c>
      <c r="H61" s="14">
        <f>0*E61*F61</f>
        <v>0</v>
      </c>
      <c r="I61" s="14">
        <f>75.806676*E61*F61</f>
        <v>2820.0083472</v>
      </c>
      <c r="J61" s="14">
        <f>22.481415264*E61*F61</f>
        <v>836.3086478207999</v>
      </c>
      <c r="K61" s="14">
        <f>10.32024958272*E61*F61</f>
        <v>383.91328447718405</v>
      </c>
      <c r="L61" s="14">
        <f>4.7229864*E61*F61</f>
        <v>175.69509408</v>
      </c>
      <c r="M61" s="14">
        <f t="shared" si="5"/>
        <v>4215.925373577984</v>
      </c>
      <c r="N61" s="18">
        <f>IF(N4&gt;0,(M61/$N$4/12),0)</f>
        <v>0.06933631625514743</v>
      </c>
    </row>
    <row r="62" spans="2:14" ht="24">
      <c r="B62" s="9" t="s">
        <v>166</v>
      </c>
      <c r="C62" s="7" t="s">
        <v>167</v>
      </c>
      <c r="D62" s="7" t="s">
        <v>161</v>
      </c>
      <c r="E62" s="11">
        <v>3.1</v>
      </c>
      <c r="F62" s="11">
        <v>12</v>
      </c>
      <c r="G62" s="14">
        <f>0*E62*F62</f>
        <v>0</v>
      </c>
      <c r="H62" s="14">
        <f>0*E62*F62</f>
        <v>0</v>
      </c>
      <c r="I62" s="14">
        <f>86.8331016*E62*F62</f>
        <v>3230.1913795200003</v>
      </c>
      <c r="J62" s="14">
        <f>25.7514393024*E62*F62</f>
        <v>957.95354204928</v>
      </c>
      <c r="K62" s="14">
        <f>11.821376794752*E62*F62</f>
        <v>439.7552167647744</v>
      </c>
      <c r="L62" s="14">
        <f>5.40996624*E62*F62</f>
        <v>201.250744128</v>
      </c>
      <c r="M62" s="14">
        <f t="shared" si="5"/>
        <v>4829.150882462055</v>
      </c>
      <c r="N62" s="18">
        <f>IF(N4&gt;0,(M62/$N$4/12),0)</f>
        <v>0.07942159861953252</v>
      </c>
    </row>
    <row r="63" spans="2:14" ht="24">
      <c r="B63" s="9" t="s">
        <v>168</v>
      </c>
      <c r="C63" s="7" t="s">
        <v>169</v>
      </c>
      <c r="D63" s="7" t="s">
        <v>170</v>
      </c>
      <c r="E63" s="11">
        <v>0.12</v>
      </c>
      <c r="F63" s="11">
        <v>247</v>
      </c>
      <c r="G63" s="14">
        <f>183.628872*E63*F63</f>
        <v>5442.75976608</v>
      </c>
      <c r="H63" s="14">
        <f>0.8555904*E63*F63</f>
        <v>25.359699455999998</v>
      </c>
      <c r="I63" s="14">
        <f aca="true" t="shared" si="7" ref="I63:I69">0*E63*F63</f>
        <v>0</v>
      </c>
      <c r="J63" s="14">
        <f>174.814686144*E63*F63</f>
        <v>5181.507297308161</v>
      </c>
      <c r="K63" s="14">
        <f>37.72641059712*E63*F63</f>
        <v>1118.2108100986368</v>
      </c>
      <c r="L63" s="14">
        <f>36.7257744*E63*F63</f>
        <v>1088.551953216</v>
      </c>
      <c r="M63" s="14">
        <f t="shared" si="5"/>
        <v>12856.389526158797</v>
      </c>
      <c r="N63" s="18">
        <f>IF(N4&gt;0,(M63/$N$4/12),0)</f>
        <v>0.21143986458388916</v>
      </c>
    </row>
    <row r="64" spans="2:14" ht="24">
      <c r="B64" s="9" t="s">
        <v>171</v>
      </c>
      <c r="C64" s="7" t="s">
        <v>172</v>
      </c>
      <c r="D64" s="7" t="s">
        <v>170</v>
      </c>
      <c r="E64" s="11">
        <v>0.12</v>
      </c>
      <c r="F64" s="11">
        <v>247</v>
      </c>
      <c r="G64" s="14">
        <f>33.931422*E64*F64</f>
        <v>1005.7273480799998</v>
      </c>
      <c r="H64" s="14">
        <f>0.42835842*E64*F64</f>
        <v>12.6965435688</v>
      </c>
      <c r="I64" s="14">
        <f t="shared" si="7"/>
        <v>0</v>
      </c>
      <c r="J64" s="14">
        <f>32.302713744*E64*F64</f>
        <v>957.45243537216</v>
      </c>
      <c r="K64" s="14">
        <f>6.99956188722*E64*F64</f>
        <v>207.4670143372008</v>
      </c>
      <c r="L64" s="14">
        <f>6.7862844*E64*F64</f>
        <v>201.145469616</v>
      </c>
      <c r="M64" s="14">
        <f t="shared" si="5"/>
        <v>2384.4888109741605</v>
      </c>
      <c r="N64" s="18">
        <f>IF(N4&gt;0,(M64/$N$4/12),0)</f>
        <v>0.039215985970892715</v>
      </c>
    </row>
    <row r="65" spans="2:14" ht="24">
      <c r="B65" s="9" t="s">
        <v>173</v>
      </c>
      <c r="C65" s="7" t="s">
        <v>174</v>
      </c>
      <c r="D65" s="7" t="s">
        <v>175</v>
      </c>
      <c r="E65" s="11">
        <v>2</v>
      </c>
      <c r="F65" s="11">
        <v>52</v>
      </c>
      <c r="G65" s="14">
        <f>69.5926812*E65*F65</f>
        <v>7237.6388448</v>
      </c>
      <c r="H65" s="14">
        <f>0.39871566*E65*F65</f>
        <v>41.466428640000004</v>
      </c>
      <c r="I65" s="14">
        <f t="shared" si="7"/>
        <v>0</v>
      </c>
      <c r="J65" s="14">
        <f>66.2522325024*E65*F65</f>
        <v>6890.232180249601</v>
      </c>
      <c r="K65" s="14">
        <f>14.305581083052*E65*F65</f>
        <v>1487.780432637408</v>
      </c>
      <c r="L65" s="14">
        <f>13.91853624*E65*F65</f>
        <v>1447.52776896</v>
      </c>
      <c r="M65" s="14">
        <f t="shared" si="5"/>
        <v>17104.645655287008</v>
      </c>
      <c r="N65" s="18">
        <f>IF(N4&gt;0,(M65/$N$4/12),0)</f>
        <v>0.28130790170526626</v>
      </c>
    </row>
    <row r="66" spans="2:14" ht="12">
      <c r="B66" s="9" t="s">
        <v>176</v>
      </c>
      <c r="C66" s="7" t="s">
        <v>177</v>
      </c>
      <c r="D66" s="7" t="s">
        <v>170</v>
      </c>
      <c r="E66" s="11">
        <v>0.12</v>
      </c>
      <c r="F66" s="11">
        <v>247</v>
      </c>
      <c r="G66" s="14">
        <f>798.3864*E66*F66</f>
        <v>23664.172895999996</v>
      </c>
      <c r="H66" s="14">
        <f>1.5241968*E66*F66</f>
        <v>45.177193152</v>
      </c>
      <c r="I66" s="14">
        <f t="shared" si="7"/>
        <v>0</v>
      </c>
      <c r="J66" s="14">
        <f>760.0638528*E66*F66</f>
        <v>22528.292596991996</v>
      </c>
      <c r="K66" s="14">
        <f>163.797317208*E66*F66</f>
        <v>4854.95248204512</v>
      </c>
      <c r="L66" s="14">
        <f>159.67728*E66*F66</f>
        <v>4732.834579199999</v>
      </c>
      <c r="M66" s="14">
        <f t="shared" si="5"/>
        <v>55825.42974738911</v>
      </c>
      <c r="N66" s="18">
        <f>IF(N4&gt;0,(M66/$N$4/12),0)</f>
        <v>0.9181210076210301</v>
      </c>
    </row>
    <row r="67" spans="2:14" ht="12">
      <c r="B67" s="9" t="s">
        <v>178</v>
      </c>
      <c r="C67" s="7" t="s">
        <v>179</v>
      </c>
      <c r="D67" s="7" t="s">
        <v>123</v>
      </c>
      <c r="E67" s="11">
        <v>0.12</v>
      </c>
      <c r="F67" s="11">
        <v>247</v>
      </c>
      <c r="G67" s="14">
        <f>323.346492*E67*F67</f>
        <v>9583.99002288</v>
      </c>
      <c r="H67" s="14">
        <f>1.9546884*E67*F67</f>
        <v>57.936964176</v>
      </c>
      <c r="I67" s="14">
        <f t="shared" si="7"/>
        <v>0</v>
      </c>
      <c r="J67" s="14">
        <f>307.825860384*E67*F67</f>
        <v>9123.95850178176</v>
      </c>
      <c r="K67" s="14">
        <f>66.47833928232*E67*F67</f>
        <v>1970.4179763279647</v>
      </c>
      <c r="L67" s="14">
        <f>64.6692984*E67*F67</f>
        <v>1916.7980045759998</v>
      </c>
      <c r="M67" s="14">
        <f t="shared" si="5"/>
        <v>22653.101469741727</v>
      </c>
      <c r="N67" s="18">
        <f>IF(N4&gt;0,(M67/$N$4/12),0)</f>
        <v>0.3725593952658004</v>
      </c>
    </row>
    <row r="68" spans="2:14" ht="12">
      <c r="B68" s="9" t="s">
        <v>180</v>
      </c>
      <c r="C68" s="7" t="s">
        <v>181</v>
      </c>
      <c r="D68" s="7" t="s">
        <v>182</v>
      </c>
      <c r="E68" s="11">
        <v>29</v>
      </c>
      <c r="F68" s="11">
        <v>2</v>
      </c>
      <c r="G68" s="14">
        <f>53.22576*E68*F68</f>
        <v>3087.09408</v>
      </c>
      <c r="H68" s="14">
        <f>0*E68*F68</f>
        <v>0</v>
      </c>
      <c r="I68" s="14">
        <f t="shared" si="7"/>
        <v>0</v>
      </c>
      <c r="J68" s="14">
        <f>50.67092352*E68*F68</f>
        <v>2938.91356416</v>
      </c>
      <c r="K68" s="14">
        <f>10.9091517696*E68*F68</f>
        <v>632.7308026367999</v>
      </c>
      <c r="L68" s="14">
        <f>10.645152*E68*F68</f>
        <v>617.418816</v>
      </c>
      <c r="M68" s="14">
        <f t="shared" si="5"/>
        <v>7276.1572627968</v>
      </c>
      <c r="N68" s="18">
        <f>IF(N4&gt;0,(M68/$N$4/12),0)</f>
        <v>0.11966576644294454</v>
      </c>
    </row>
    <row r="69" spans="2:14" ht="12">
      <c r="B69" s="9" t="s">
        <v>183</v>
      </c>
      <c r="C69" s="7" t="s">
        <v>184</v>
      </c>
      <c r="D69" s="7" t="s">
        <v>170</v>
      </c>
      <c r="E69" s="11">
        <v>0.14</v>
      </c>
      <c r="F69" s="11">
        <v>12</v>
      </c>
      <c r="G69" s="14">
        <f>337.0521252*E69*F69</f>
        <v>566.2475703360001</v>
      </c>
      <c r="H69" s="14">
        <f>39.871566*E69*F69</f>
        <v>66.98423088000001</v>
      </c>
      <c r="I69" s="14">
        <f t="shared" si="7"/>
        <v>0</v>
      </c>
      <c r="J69" s="14">
        <f>320.8736231904*E69*F69</f>
        <v>539.067686959872</v>
      </c>
      <c r="K69" s="14">
        <f>73.268718010992*E69*F69</f>
        <v>123.09144625846656</v>
      </c>
      <c r="L69" s="14">
        <f>67.41042504*E69*F69</f>
        <v>113.24951406720001</v>
      </c>
      <c r="M69" s="14">
        <f t="shared" si="5"/>
        <v>1408.6404485015387</v>
      </c>
      <c r="N69" s="18">
        <f>IF(N4&gt;0,(M69/$N$4/12),0)</f>
        <v>0.023166904290861434</v>
      </c>
    </row>
    <row r="70" spans="2:14" ht="12.75">
      <c r="B70" s="43" t="s">
        <v>70</v>
      </c>
      <c r="C70" s="44"/>
      <c r="D70" s="44"/>
      <c r="E70" s="44"/>
      <c r="F70" s="44"/>
      <c r="G70" s="15">
        <f aca="true" t="shared" si="8" ref="G70:N70">SUM(G28:G69)</f>
        <v>361675.36530049494</v>
      </c>
      <c r="H70" s="15">
        <f t="shared" si="8"/>
        <v>11581.548079051694</v>
      </c>
      <c r="I70" s="15">
        <f t="shared" si="8"/>
        <v>24795.072351360002</v>
      </c>
      <c r="J70" s="15">
        <f t="shared" si="8"/>
        <v>350743.81253239216</v>
      </c>
      <c r="K70" s="15">
        <f t="shared" si="8"/>
        <v>78623.55881764636</v>
      </c>
      <c r="L70" s="15">
        <f t="shared" si="8"/>
        <v>73685.67490176306</v>
      </c>
      <c r="M70" s="15">
        <f t="shared" si="8"/>
        <v>901105.0319827083</v>
      </c>
      <c r="N70" s="19">
        <f t="shared" si="8"/>
        <v>14.819831458172297</v>
      </c>
    </row>
    <row r="71" spans="2:14" ht="27.75" customHeight="1">
      <c r="B71" s="45" t="s">
        <v>185</v>
      </c>
      <c r="C71" s="46"/>
      <c r="D71" s="46"/>
      <c r="E71" s="46"/>
      <c r="F71" s="46"/>
      <c r="G71" s="20">
        <f aca="true" t="shared" si="9" ref="G71:N71">G26+G70</f>
        <v>408789.716796523</v>
      </c>
      <c r="H71" s="20">
        <f t="shared" si="9"/>
        <v>85189.66790118144</v>
      </c>
      <c r="I71" s="20">
        <f t="shared" si="9"/>
        <v>24795.072351360002</v>
      </c>
      <c r="J71" s="20">
        <f t="shared" si="9"/>
        <v>395596.6751566109</v>
      </c>
      <c r="K71" s="20">
        <f t="shared" si="9"/>
        <v>96008.968881596</v>
      </c>
      <c r="L71" s="20">
        <f t="shared" si="9"/>
        <v>83108.54520096867</v>
      </c>
      <c r="M71" s="20">
        <f t="shared" si="9"/>
        <v>1093488.64628824</v>
      </c>
      <c r="N71" s="21">
        <f t="shared" si="9"/>
        <v>17.983827483195846</v>
      </c>
    </row>
    <row r="75" spans="3:14" ht="18">
      <c r="C75" s="47" t="s">
        <v>186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3:11" ht="19.5" customHeight="1">
      <c r="C76" s="48" t="s">
        <v>187</v>
      </c>
      <c r="D76" s="36"/>
      <c r="E76" s="49">
        <f>G71</f>
        <v>408789.716796523</v>
      </c>
      <c r="F76" s="36"/>
      <c r="G76" s="48" t="s">
        <v>188</v>
      </c>
      <c r="H76" s="36"/>
      <c r="I76" s="36"/>
      <c r="J76" s="49">
        <f>J71</f>
        <v>395596.6751566109</v>
      </c>
      <c r="K76" s="36"/>
    </row>
    <row r="77" spans="3:11" ht="19.5" customHeight="1">
      <c r="C77" s="48" t="s">
        <v>189</v>
      </c>
      <c r="D77" s="36"/>
      <c r="E77" s="49">
        <f>H71</f>
        <v>85189.66790118144</v>
      </c>
      <c r="F77" s="36"/>
      <c r="G77" s="48" t="s">
        <v>190</v>
      </c>
      <c r="H77" s="36"/>
      <c r="I77" s="36"/>
      <c r="J77" s="49">
        <f>K71</f>
        <v>96008.968881596</v>
      </c>
      <c r="K77" s="36"/>
    </row>
    <row r="78" spans="3:11" ht="19.5" customHeight="1">
      <c r="C78" s="48" t="s">
        <v>191</v>
      </c>
      <c r="D78" s="36"/>
      <c r="E78" s="49">
        <f>I71</f>
        <v>24795.072351360002</v>
      </c>
      <c r="F78" s="36"/>
      <c r="G78" s="48" t="s">
        <v>192</v>
      </c>
      <c r="H78" s="36"/>
      <c r="I78" s="36"/>
      <c r="J78" s="49">
        <f>L71</f>
        <v>83108.54520096867</v>
      </c>
      <c r="K78" s="36"/>
    </row>
    <row r="79" spans="3:11" ht="15">
      <c r="C79" s="5"/>
      <c r="E79" s="22"/>
      <c r="G79" s="48" t="s">
        <v>193</v>
      </c>
      <c r="H79" s="36"/>
      <c r="I79" s="36"/>
      <c r="J79" s="49">
        <f>M71</f>
        <v>1093488.64628824</v>
      </c>
      <c r="K79" s="36"/>
    </row>
  </sheetData>
  <sheetProtection formatCells="0" formatColumns="0" formatRows="0" insertColumns="0" insertRows="0" insertHyperlinks="0" deleteColumns="0" deleteRows="0" sort="0" autoFilter="0" pivotTables="0"/>
  <mergeCells count="23">
    <mergeCell ref="G79:I79"/>
    <mergeCell ref="J79:K79"/>
    <mergeCell ref="C77:D77"/>
    <mergeCell ref="E77:F77"/>
    <mergeCell ref="G77:I77"/>
    <mergeCell ref="J77:K77"/>
    <mergeCell ref="C78:D78"/>
    <mergeCell ref="E78:F78"/>
    <mergeCell ref="G78:I78"/>
    <mergeCell ref="J78:K78"/>
    <mergeCell ref="B70:F70"/>
    <mergeCell ref="B71:F71"/>
    <mergeCell ref="C75:N75"/>
    <mergeCell ref="C76:D76"/>
    <mergeCell ref="E76:F76"/>
    <mergeCell ref="G76:I76"/>
    <mergeCell ref="J76:K76"/>
    <mergeCell ref="B1:M1"/>
    <mergeCell ref="B4:K4"/>
    <mergeCell ref="L4:M4"/>
    <mergeCell ref="B5:N5"/>
    <mergeCell ref="B26:F26"/>
    <mergeCell ref="B27:N27"/>
  </mergeCells>
  <printOptions/>
  <pageMargins left="0.35" right="0.35" top="0.35" bottom="0.35" header="0.3" footer="0.3"/>
  <pageSetup fitToHeight="0" fitToWidth="1" horizontalDpi="600" verticalDpi="600" orientation="landscape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workbookViewId="0" topLeftCell="B1">
      <selection activeCell="B104" sqref="B104:G104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50" t="s">
        <v>194</v>
      </c>
      <c r="C1" s="50"/>
      <c r="D1" s="50"/>
      <c r="E1" s="50"/>
      <c r="F1" s="50"/>
      <c r="G1" s="50"/>
    </row>
    <row r="3" spans="1:7" ht="27">
      <c r="A3" s="23"/>
      <c r="B3" s="24" t="s">
        <v>195</v>
      </c>
      <c r="C3" s="24" t="s">
        <v>196</v>
      </c>
      <c r="D3" s="24" t="s">
        <v>197</v>
      </c>
      <c r="E3" s="24" t="s">
        <v>4</v>
      </c>
      <c r="F3" s="24" t="s">
        <v>198</v>
      </c>
      <c r="G3" s="25" t="s">
        <v>12</v>
      </c>
    </row>
    <row r="4" spans="2:7" ht="16.5">
      <c r="B4" s="51" t="s">
        <v>199</v>
      </c>
      <c r="C4" s="51"/>
      <c r="D4" s="51"/>
      <c r="E4" s="51"/>
      <c r="F4" s="51"/>
      <c r="G4" s="51"/>
    </row>
    <row r="5" spans="2:7" ht="12">
      <c r="B5" s="26">
        <v>1</v>
      </c>
      <c r="C5" s="28" t="s">
        <v>200</v>
      </c>
      <c r="D5" s="28" t="s">
        <v>201</v>
      </c>
      <c r="E5" s="29">
        <v>1.7536</v>
      </c>
      <c r="F5" s="30">
        <v>178.03920000000002</v>
      </c>
      <c r="G5" s="31">
        <f aca="true" t="shared" si="0" ref="G5:G27">E5*F5</f>
        <v>312.20954112000004</v>
      </c>
    </row>
    <row r="6" spans="2:7" ht="12">
      <c r="B6" s="27">
        <v>2</v>
      </c>
      <c r="C6" s="7" t="s">
        <v>202</v>
      </c>
      <c r="D6" s="7" t="s">
        <v>201</v>
      </c>
      <c r="E6" s="12">
        <v>1255.71258</v>
      </c>
      <c r="F6" s="14">
        <v>133.0644</v>
      </c>
      <c r="G6" s="32">
        <f t="shared" si="0"/>
        <v>167090.64103015198</v>
      </c>
    </row>
    <row r="7" spans="2:7" ht="12">
      <c r="B7" s="27">
        <v>3</v>
      </c>
      <c r="C7" s="7" t="s">
        <v>203</v>
      </c>
      <c r="D7" s="7" t="s">
        <v>201</v>
      </c>
      <c r="E7" s="12">
        <v>3.428</v>
      </c>
      <c r="F7" s="14">
        <v>157.8644</v>
      </c>
      <c r="G7" s="32">
        <f t="shared" si="0"/>
        <v>541.1591632</v>
      </c>
    </row>
    <row r="8" spans="2:7" ht="24">
      <c r="B8" s="27">
        <v>4</v>
      </c>
      <c r="C8" s="7" t="s">
        <v>204</v>
      </c>
      <c r="D8" s="7" t="s">
        <v>201</v>
      </c>
      <c r="E8" s="12">
        <v>10.08</v>
      </c>
      <c r="F8" s="14">
        <v>178.03920000000002</v>
      </c>
      <c r="G8" s="32">
        <f t="shared" si="0"/>
        <v>1794.6351360000003</v>
      </c>
    </row>
    <row r="9" spans="2:7" ht="12">
      <c r="B9" s="27">
        <v>5</v>
      </c>
      <c r="C9" s="7" t="s">
        <v>205</v>
      </c>
      <c r="D9" s="7" t="s">
        <v>201</v>
      </c>
      <c r="E9" s="12">
        <v>107.532</v>
      </c>
      <c r="F9" s="14">
        <v>144.3546</v>
      </c>
      <c r="G9" s="32">
        <f t="shared" si="0"/>
        <v>15522.7388472</v>
      </c>
    </row>
    <row r="10" spans="2:7" ht="12">
      <c r="B10" s="27">
        <v>6</v>
      </c>
      <c r="C10" s="7" t="s">
        <v>206</v>
      </c>
      <c r="D10" s="7" t="s">
        <v>201</v>
      </c>
      <c r="E10" s="12">
        <v>30.372</v>
      </c>
      <c r="F10" s="14">
        <v>157.8644</v>
      </c>
      <c r="G10" s="32">
        <f t="shared" si="0"/>
        <v>4794.6575568</v>
      </c>
    </row>
    <row r="11" spans="2:7" ht="12">
      <c r="B11" s="27">
        <v>7</v>
      </c>
      <c r="C11" s="7" t="s">
        <v>207</v>
      </c>
      <c r="D11" s="7" t="s">
        <v>201</v>
      </c>
      <c r="E11" s="12">
        <v>5.88</v>
      </c>
      <c r="F11" s="14">
        <v>178.03920000000002</v>
      </c>
      <c r="G11" s="32">
        <f t="shared" si="0"/>
        <v>1046.870496</v>
      </c>
    </row>
    <row r="12" spans="2:7" ht="12">
      <c r="B12" s="27">
        <v>8</v>
      </c>
      <c r="C12" s="7" t="s">
        <v>208</v>
      </c>
      <c r="D12" s="7" t="s">
        <v>201</v>
      </c>
      <c r="E12" s="12">
        <v>22.08</v>
      </c>
      <c r="F12" s="14">
        <v>205.2448</v>
      </c>
      <c r="G12" s="32">
        <f t="shared" si="0"/>
        <v>4531.805184</v>
      </c>
    </row>
    <row r="13" spans="2:7" ht="24">
      <c r="B13" s="27">
        <v>9</v>
      </c>
      <c r="C13" s="7" t="s">
        <v>209</v>
      </c>
      <c r="D13" s="7" t="s">
        <v>201</v>
      </c>
      <c r="E13" s="12">
        <v>1168.57136653</v>
      </c>
      <c r="F13" s="14">
        <v>144.3546</v>
      </c>
      <c r="G13" s="32">
        <f t="shared" si="0"/>
        <v>168688.65218689153</v>
      </c>
    </row>
    <row r="14" spans="2:7" ht="24">
      <c r="B14" s="27">
        <v>10</v>
      </c>
      <c r="C14" s="7" t="s">
        <v>210</v>
      </c>
      <c r="D14" s="7" t="s">
        <v>201</v>
      </c>
      <c r="E14" s="12">
        <v>14.4</v>
      </c>
      <c r="F14" s="14">
        <v>178.03920000000002</v>
      </c>
      <c r="G14" s="32">
        <f t="shared" si="0"/>
        <v>2563.7644800000003</v>
      </c>
    </row>
    <row r="15" spans="2:7" ht="24">
      <c r="B15" s="27">
        <v>11</v>
      </c>
      <c r="C15" s="7" t="s">
        <v>211</v>
      </c>
      <c r="D15" s="7" t="s">
        <v>201</v>
      </c>
      <c r="E15" s="12">
        <v>0.376</v>
      </c>
      <c r="F15" s="14">
        <v>157.8644</v>
      </c>
      <c r="G15" s="32">
        <f t="shared" si="0"/>
        <v>59.3570144</v>
      </c>
    </row>
    <row r="16" spans="2:7" ht="24">
      <c r="B16" s="27">
        <v>12</v>
      </c>
      <c r="C16" s="7" t="s">
        <v>212</v>
      </c>
      <c r="D16" s="7" t="s">
        <v>201</v>
      </c>
      <c r="E16" s="12">
        <v>0.264</v>
      </c>
      <c r="F16" s="14">
        <v>178.03920000000002</v>
      </c>
      <c r="G16" s="32">
        <f t="shared" si="0"/>
        <v>47.00234880000001</v>
      </c>
    </row>
    <row r="17" spans="2:7" ht="24">
      <c r="B17" s="27">
        <v>13</v>
      </c>
      <c r="C17" s="7" t="s">
        <v>213</v>
      </c>
      <c r="D17" s="7" t="s">
        <v>201</v>
      </c>
      <c r="E17" s="12">
        <v>0.376</v>
      </c>
      <c r="F17" s="14">
        <v>205.2448</v>
      </c>
      <c r="G17" s="32">
        <f t="shared" si="0"/>
        <v>77.1720448</v>
      </c>
    </row>
    <row r="18" spans="2:7" ht="12">
      <c r="B18" s="27">
        <v>14</v>
      </c>
      <c r="C18" s="7" t="s">
        <v>214</v>
      </c>
      <c r="D18" s="7" t="s">
        <v>201</v>
      </c>
      <c r="E18" s="12">
        <v>1.5</v>
      </c>
      <c r="F18" s="14">
        <v>157.8644</v>
      </c>
      <c r="G18" s="32">
        <f t="shared" si="0"/>
        <v>236.79659999999998</v>
      </c>
    </row>
    <row r="19" spans="2:7" ht="12">
      <c r="B19" s="27">
        <v>15</v>
      </c>
      <c r="C19" s="7" t="s">
        <v>215</v>
      </c>
      <c r="D19" s="7" t="s">
        <v>201</v>
      </c>
      <c r="E19" s="12">
        <v>25.62</v>
      </c>
      <c r="F19" s="14">
        <v>178.03920000000002</v>
      </c>
      <c r="G19" s="32">
        <f t="shared" si="0"/>
        <v>4561.364304000001</v>
      </c>
    </row>
    <row r="20" spans="2:7" ht="12">
      <c r="B20" s="27">
        <v>16</v>
      </c>
      <c r="C20" s="7" t="s">
        <v>216</v>
      </c>
      <c r="D20" s="7" t="s">
        <v>201</v>
      </c>
      <c r="E20" s="12">
        <v>1.5</v>
      </c>
      <c r="F20" s="14">
        <v>205.2448</v>
      </c>
      <c r="G20" s="32">
        <f t="shared" si="0"/>
        <v>307.8672</v>
      </c>
    </row>
    <row r="21" spans="2:7" ht="12">
      <c r="B21" s="27">
        <v>17</v>
      </c>
      <c r="C21" s="7" t="s">
        <v>217</v>
      </c>
      <c r="D21" s="7" t="s">
        <v>201</v>
      </c>
      <c r="E21" s="12">
        <v>15.96</v>
      </c>
      <c r="F21" s="14">
        <v>157.8644</v>
      </c>
      <c r="G21" s="32">
        <f t="shared" si="0"/>
        <v>2519.515824</v>
      </c>
    </row>
    <row r="22" spans="2:7" ht="12">
      <c r="B22" s="27">
        <v>18</v>
      </c>
      <c r="C22" s="7" t="s">
        <v>218</v>
      </c>
      <c r="D22" s="7" t="s">
        <v>201</v>
      </c>
      <c r="E22" s="12">
        <v>11.19633333</v>
      </c>
      <c r="F22" s="14">
        <v>144.3546</v>
      </c>
      <c r="G22" s="32">
        <f t="shared" si="0"/>
        <v>1616.2422193188181</v>
      </c>
    </row>
    <row r="23" spans="2:7" ht="12">
      <c r="B23" s="27">
        <v>19</v>
      </c>
      <c r="C23" s="7" t="s">
        <v>219</v>
      </c>
      <c r="D23" s="7" t="s">
        <v>201</v>
      </c>
      <c r="E23" s="12">
        <v>34.935</v>
      </c>
      <c r="F23" s="14">
        <v>157.8644</v>
      </c>
      <c r="G23" s="32">
        <f t="shared" si="0"/>
        <v>5514.992814</v>
      </c>
    </row>
    <row r="24" spans="2:7" ht="12">
      <c r="B24" s="27">
        <v>20</v>
      </c>
      <c r="C24" s="7" t="s">
        <v>220</v>
      </c>
      <c r="D24" s="7" t="s">
        <v>201</v>
      </c>
      <c r="E24" s="12">
        <v>115.04173333</v>
      </c>
      <c r="F24" s="14">
        <v>178.03920000000002</v>
      </c>
      <c r="G24" s="32">
        <f t="shared" si="0"/>
        <v>20481.938168686538</v>
      </c>
    </row>
    <row r="25" spans="2:7" ht="12">
      <c r="B25" s="27">
        <v>21</v>
      </c>
      <c r="C25" s="7" t="s">
        <v>221</v>
      </c>
      <c r="D25" s="7" t="s">
        <v>201</v>
      </c>
      <c r="E25" s="12">
        <v>4.2</v>
      </c>
      <c r="F25" s="14">
        <v>178.03920000000002</v>
      </c>
      <c r="G25" s="32">
        <f t="shared" si="0"/>
        <v>747.7646400000001</v>
      </c>
    </row>
    <row r="26" spans="2:7" ht="24">
      <c r="B26" s="27">
        <v>22</v>
      </c>
      <c r="C26" s="7" t="s">
        <v>222</v>
      </c>
      <c r="D26" s="7" t="s">
        <v>223</v>
      </c>
      <c r="E26" s="12">
        <v>12.3552</v>
      </c>
      <c r="F26" s="14">
        <v>205.2448</v>
      </c>
      <c r="G26" s="32">
        <f t="shared" si="0"/>
        <v>2535.84055296</v>
      </c>
    </row>
    <row r="27" spans="2:7" ht="24">
      <c r="B27" s="27">
        <v>23</v>
      </c>
      <c r="C27" s="7" t="s">
        <v>224</v>
      </c>
      <c r="D27" s="7" t="s">
        <v>201</v>
      </c>
      <c r="E27" s="12">
        <v>17.9552</v>
      </c>
      <c r="F27" s="14">
        <v>178.03920000000002</v>
      </c>
      <c r="G27" s="32">
        <f t="shared" si="0"/>
        <v>3196.729443840001</v>
      </c>
    </row>
    <row r="28" spans="2:7" ht="12">
      <c r="B28" s="52" t="s">
        <v>225</v>
      </c>
      <c r="C28" s="53"/>
      <c r="D28" s="53"/>
      <c r="E28" s="53"/>
      <c r="F28" s="54"/>
      <c r="G28" s="33">
        <f>SUM(G5:G27)</f>
        <v>408789.7167961689</v>
      </c>
    </row>
    <row r="29" spans="2:7" ht="16.5">
      <c r="B29" s="51" t="s">
        <v>226</v>
      </c>
      <c r="C29" s="51"/>
      <c r="D29" s="51"/>
      <c r="E29" s="51"/>
      <c r="F29" s="51"/>
      <c r="G29" s="51"/>
    </row>
    <row r="30" spans="2:7" ht="12">
      <c r="B30" s="26">
        <v>24</v>
      </c>
      <c r="C30" s="28" t="s">
        <v>227</v>
      </c>
      <c r="D30" s="28" t="s">
        <v>228</v>
      </c>
      <c r="E30" s="29">
        <v>3</v>
      </c>
      <c r="F30" s="30">
        <v>44.2008</v>
      </c>
      <c r="G30" s="31">
        <f aca="true" t="shared" si="1" ref="G30:G61">E30*F30</f>
        <v>132.6024</v>
      </c>
    </row>
    <row r="31" spans="2:7" ht="24">
      <c r="B31" s="27">
        <v>25</v>
      </c>
      <c r="C31" s="7" t="s">
        <v>229</v>
      </c>
      <c r="D31" s="7" t="s">
        <v>228</v>
      </c>
      <c r="E31" s="12">
        <v>3.08</v>
      </c>
      <c r="F31" s="14">
        <v>94.04639999999999</v>
      </c>
      <c r="G31" s="32">
        <f t="shared" si="1"/>
        <v>289.662912</v>
      </c>
    </row>
    <row r="32" spans="2:7" ht="24">
      <c r="B32" s="27">
        <v>26</v>
      </c>
      <c r="C32" s="7" t="s">
        <v>230</v>
      </c>
      <c r="D32" s="7" t="s">
        <v>228</v>
      </c>
      <c r="E32" s="12">
        <v>2.2</v>
      </c>
      <c r="F32" s="14">
        <v>109.4436</v>
      </c>
      <c r="G32" s="32">
        <f t="shared" si="1"/>
        <v>240.77592</v>
      </c>
    </row>
    <row r="33" spans="2:7" ht="24">
      <c r="B33" s="27">
        <v>27</v>
      </c>
      <c r="C33" s="7" t="s">
        <v>231</v>
      </c>
      <c r="D33" s="7" t="s">
        <v>228</v>
      </c>
      <c r="E33" s="12">
        <v>0.44</v>
      </c>
      <c r="F33" s="14">
        <v>101.82060000000001</v>
      </c>
      <c r="G33" s="32">
        <f t="shared" si="1"/>
        <v>44.801064000000004</v>
      </c>
    </row>
    <row r="34" spans="2:7" ht="12">
      <c r="B34" s="27">
        <v>28</v>
      </c>
      <c r="C34" s="7" t="s">
        <v>232</v>
      </c>
      <c r="D34" s="7" t="s">
        <v>233</v>
      </c>
      <c r="E34" s="12">
        <v>0.063</v>
      </c>
      <c r="F34" s="14">
        <v>443.6712</v>
      </c>
      <c r="G34" s="32">
        <f t="shared" si="1"/>
        <v>27.9512856</v>
      </c>
    </row>
    <row r="35" spans="2:7" ht="12">
      <c r="B35" s="27">
        <v>29</v>
      </c>
      <c r="C35" s="7" t="s">
        <v>234</v>
      </c>
      <c r="D35" s="7" t="s">
        <v>235</v>
      </c>
      <c r="E35" s="12">
        <v>0.02112</v>
      </c>
      <c r="F35" s="14">
        <v>0</v>
      </c>
      <c r="G35" s="32">
        <f t="shared" si="1"/>
        <v>0</v>
      </c>
    </row>
    <row r="36" spans="2:7" ht="12">
      <c r="B36" s="27">
        <v>30</v>
      </c>
      <c r="C36" s="7" t="s">
        <v>236</v>
      </c>
      <c r="D36" s="7" t="s">
        <v>228</v>
      </c>
      <c r="E36" s="12">
        <v>0.2</v>
      </c>
      <c r="F36" s="14">
        <v>53124.119999999995</v>
      </c>
      <c r="G36" s="32">
        <f t="shared" si="1"/>
        <v>10624.824</v>
      </c>
    </row>
    <row r="37" spans="2:7" ht="12">
      <c r="B37" s="27">
        <v>31</v>
      </c>
      <c r="C37" s="7" t="s">
        <v>237</v>
      </c>
      <c r="D37" s="7" t="s">
        <v>235</v>
      </c>
      <c r="E37" s="12">
        <v>0.0004</v>
      </c>
      <c r="F37" s="14">
        <v>113498.9856</v>
      </c>
      <c r="G37" s="32">
        <f t="shared" si="1"/>
        <v>45.39959424</v>
      </c>
    </row>
    <row r="38" spans="2:7" ht="12">
      <c r="B38" s="27">
        <v>32</v>
      </c>
      <c r="C38" s="7" t="s">
        <v>238</v>
      </c>
      <c r="D38" s="7" t="s">
        <v>228</v>
      </c>
      <c r="E38" s="12">
        <v>32</v>
      </c>
      <c r="F38" s="14">
        <v>196.4466</v>
      </c>
      <c r="G38" s="32">
        <f t="shared" si="1"/>
        <v>6286.2912</v>
      </c>
    </row>
    <row r="39" spans="2:7" ht="12">
      <c r="B39" s="27">
        <v>33</v>
      </c>
      <c r="C39" s="7" t="s">
        <v>239</v>
      </c>
      <c r="D39" s="7" t="s">
        <v>240</v>
      </c>
      <c r="E39" s="12">
        <v>8.044</v>
      </c>
      <c r="F39" s="14">
        <v>34.4358</v>
      </c>
      <c r="G39" s="32">
        <f t="shared" si="1"/>
        <v>277.00157520000005</v>
      </c>
    </row>
    <row r="40" spans="2:7" ht="12">
      <c r="B40" s="27">
        <v>34</v>
      </c>
      <c r="C40" s="7" t="s">
        <v>241</v>
      </c>
      <c r="D40" s="7" t="s">
        <v>233</v>
      </c>
      <c r="E40" s="12">
        <v>3262.9934</v>
      </c>
      <c r="F40" s="14">
        <v>0</v>
      </c>
      <c r="G40" s="32">
        <f t="shared" si="1"/>
        <v>0</v>
      </c>
    </row>
    <row r="41" spans="2:7" ht="12">
      <c r="B41" s="27">
        <v>35</v>
      </c>
      <c r="C41" s="7" t="s">
        <v>242</v>
      </c>
      <c r="D41" s="7" t="s">
        <v>228</v>
      </c>
      <c r="E41" s="12">
        <v>0.8</v>
      </c>
      <c r="F41" s="14">
        <v>15974.494200000001</v>
      </c>
      <c r="G41" s="32">
        <f t="shared" si="1"/>
        <v>12779.595360000001</v>
      </c>
    </row>
    <row r="42" spans="2:7" ht="12">
      <c r="B42" s="27">
        <v>36</v>
      </c>
      <c r="C42" s="7" t="s">
        <v>243</v>
      </c>
      <c r="D42" s="7" t="s">
        <v>228</v>
      </c>
      <c r="E42" s="12">
        <v>1.4</v>
      </c>
      <c r="F42" s="14">
        <v>623.5110000000001</v>
      </c>
      <c r="G42" s="32">
        <f t="shared" si="1"/>
        <v>872.9154000000001</v>
      </c>
    </row>
    <row r="43" spans="2:7" ht="12">
      <c r="B43" s="27">
        <v>37</v>
      </c>
      <c r="C43" s="7" t="s">
        <v>244</v>
      </c>
      <c r="D43" s="7" t="s">
        <v>228</v>
      </c>
      <c r="E43" s="12">
        <v>1.6</v>
      </c>
      <c r="F43" s="14">
        <v>4577.4666</v>
      </c>
      <c r="G43" s="32">
        <f t="shared" si="1"/>
        <v>7323.94656</v>
      </c>
    </row>
    <row r="44" spans="2:7" ht="12">
      <c r="B44" s="27">
        <v>38</v>
      </c>
      <c r="C44" s="7" t="s">
        <v>245</v>
      </c>
      <c r="D44" s="7" t="s">
        <v>228</v>
      </c>
      <c r="E44" s="12">
        <v>0.2</v>
      </c>
      <c r="F44" s="14">
        <v>957.5999999999999</v>
      </c>
      <c r="G44" s="32">
        <f t="shared" si="1"/>
        <v>191.51999999999998</v>
      </c>
    </row>
    <row r="45" spans="2:7" ht="12">
      <c r="B45" s="27">
        <v>39</v>
      </c>
      <c r="C45" s="7" t="s">
        <v>246</v>
      </c>
      <c r="D45" s="7" t="s">
        <v>228</v>
      </c>
      <c r="E45" s="12">
        <v>1.4</v>
      </c>
      <c r="F45" s="14">
        <v>2048.5206</v>
      </c>
      <c r="G45" s="32">
        <f t="shared" si="1"/>
        <v>2867.9288399999996</v>
      </c>
    </row>
    <row r="46" spans="2:7" ht="12">
      <c r="B46" s="27">
        <v>40</v>
      </c>
      <c r="C46" s="7" t="s">
        <v>247</v>
      </c>
      <c r="D46" s="7" t="s">
        <v>240</v>
      </c>
      <c r="E46" s="12">
        <v>0.48024</v>
      </c>
      <c r="F46" s="14">
        <v>61.57619999999999</v>
      </c>
      <c r="G46" s="32">
        <f t="shared" si="1"/>
        <v>29.571354287999995</v>
      </c>
    </row>
    <row r="47" spans="2:7" ht="12">
      <c r="B47" s="27">
        <v>41</v>
      </c>
      <c r="C47" s="7" t="s">
        <v>248</v>
      </c>
      <c r="D47" s="7" t="s">
        <v>233</v>
      </c>
      <c r="E47" s="12">
        <v>0.144</v>
      </c>
      <c r="F47" s="14">
        <v>58.59</v>
      </c>
      <c r="G47" s="32">
        <f t="shared" si="1"/>
        <v>8.43696</v>
      </c>
    </row>
    <row r="48" spans="2:7" ht="12">
      <c r="B48" s="27">
        <v>42</v>
      </c>
      <c r="C48" s="7" t="s">
        <v>249</v>
      </c>
      <c r="D48" s="7" t="s">
        <v>228</v>
      </c>
      <c r="E48" s="12">
        <v>2</v>
      </c>
      <c r="F48" s="14">
        <v>896.4522000000001</v>
      </c>
      <c r="G48" s="32">
        <f t="shared" si="1"/>
        <v>1792.9044000000001</v>
      </c>
    </row>
    <row r="49" spans="2:7" ht="12">
      <c r="B49" s="27">
        <v>43</v>
      </c>
      <c r="C49" s="7" t="s">
        <v>250</v>
      </c>
      <c r="D49" s="7" t="s">
        <v>235</v>
      </c>
      <c r="E49" s="12">
        <v>0.000448</v>
      </c>
      <c r="F49" s="14">
        <v>68290.4124</v>
      </c>
      <c r="G49" s="32">
        <f t="shared" si="1"/>
        <v>30.5941047552</v>
      </c>
    </row>
    <row r="50" spans="2:7" ht="12">
      <c r="B50" s="27">
        <v>44</v>
      </c>
      <c r="C50" s="7" t="s">
        <v>251</v>
      </c>
      <c r="D50" s="7" t="s">
        <v>235</v>
      </c>
      <c r="E50" s="12">
        <v>0.0002</v>
      </c>
      <c r="F50" s="14">
        <v>122430.01679999998</v>
      </c>
      <c r="G50" s="32">
        <f t="shared" si="1"/>
        <v>24.486003359999998</v>
      </c>
    </row>
    <row r="51" spans="2:7" ht="24">
      <c r="B51" s="27">
        <v>45</v>
      </c>
      <c r="C51" s="7" t="s">
        <v>252</v>
      </c>
      <c r="D51" s="7" t="s">
        <v>235</v>
      </c>
      <c r="E51" s="12">
        <v>0.02828</v>
      </c>
      <c r="F51" s="14">
        <v>88432.785</v>
      </c>
      <c r="G51" s="32">
        <f t="shared" si="1"/>
        <v>2500.8791598000003</v>
      </c>
    </row>
    <row r="52" spans="2:7" ht="12">
      <c r="B52" s="27">
        <v>46</v>
      </c>
      <c r="C52" s="7" t="s">
        <v>253</v>
      </c>
      <c r="D52" s="7" t="s">
        <v>240</v>
      </c>
      <c r="E52" s="12">
        <v>0.988</v>
      </c>
      <c r="F52" s="14">
        <v>118.251</v>
      </c>
      <c r="G52" s="32">
        <f t="shared" si="1"/>
        <v>116.83198800000001</v>
      </c>
    </row>
    <row r="53" spans="2:7" ht="12">
      <c r="B53" s="27">
        <v>47</v>
      </c>
      <c r="C53" s="7" t="s">
        <v>254</v>
      </c>
      <c r="D53" s="7" t="s">
        <v>255</v>
      </c>
      <c r="E53" s="12">
        <v>1</v>
      </c>
      <c r="F53" s="14">
        <v>437.44680000000005</v>
      </c>
      <c r="G53" s="32">
        <f t="shared" si="1"/>
        <v>437.44680000000005</v>
      </c>
    </row>
    <row r="54" spans="2:7" ht="12">
      <c r="B54" s="27">
        <v>48</v>
      </c>
      <c r="C54" s="7" t="s">
        <v>256</v>
      </c>
      <c r="D54" s="7" t="s">
        <v>257</v>
      </c>
      <c r="E54" s="12">
        <v>0.312648</v>
      </c>
      <c r="F54" s="14">
        <v>4886.721</v>
      </c>
      <c r="G54" s="32">
        <f t="shared" si="1"/>
        <v>1527.8235472079998</v>
      </c>
    </row>
    <row r="55" spans="2:7" ht="12">
      <c r="B55" s="27">
        <v>49</v>
      </c>
      <c r="C55" s="7" t="s">
        <v>258</v>
      </c>
      <c r="D55" s="7" t="s">
        <v>240</v>
      </c>
      <c r="E55" s="12">
        <v>9.2944</v>
      </c>
      <c r="F55" s="14">
        <v>422.01180000000005</v>
      </c>
      <c r="G55" s="32">
        <f t="shared" si="1"/>
        <v>3922.3464739200003</v>
      </c>
    </row>
    <row r="56" spans="2:7" ht="12">
      <c r="B56" s="27">
        <v>50</v>
      </c>
      <c r="C56" s="7" t="s">
        <v>259</v>
      </c>
      <c r="D56" s="7" t="s">
        <v>240</v>
      </c>
      <c r="E56" s="12">
        <v>1.0176</v>
      </c>
      <c r="F56" s="14">
        <v>78.40979999999999</v>
      </c>
      <c r="G56" s="32">
        <f t="shared" si="1"/>
        <v>79.78981248</v>
      </c>
    </row>
    <row r="57" spans="2:7" ht="12">
      <c r="B57" s="27">
        <v>51</v>
      </c>
      <c r="C57" s="7" t="s">
        <v>260</v>
      </c>
      <c r="D57" s="7" t="s">
        <v>235</v>
      </c>
      <c r="E57" s="12">
        <v>0.0004</v>
      </c>
      <c r="F57" s="14">
        <v>67777.6806</v>
      </c>
      <c r="G57" s="32">
        <f t="shared" si="1"/>
        <v>27.111072240000006</v>
      </c>
    </row>
    <row r="58" spans="2:7" ht="12">
      <c r="B58" s="27">
        <v>52</v>
      </c>
      <c r="C58" s="7" t="s">
        <v>261</v>
      </c>
      <c r="D58" s="7" t="s">
        <v>235</v>
      </c>
      <c r="E58" s="12">
        <v>0.00798</v>
      </c>
      <c r="F58" s="14">
        <v>70882.8876</v>
      </c>
      <c r="G58" s="32">
        <f t="shared" si="1"/>
        <v>565.645443048</v>
      </c>
    </row>
    <row r="59" spans="2:7" ht="12">
      <c r="B59" s="27">
        <v>53</v>
      </c>
      <c r="C59" s="7" t="s">
        <v>262</v>
      </c>
      <c r="D59" s="7" t="s">
        <v>240</v>
      </c>
      <c r="E59" s="12">
        <v>0.1378</v>
      </c>
      <c r="F59" s="14">
        <v>243.30599999999998</v>
      </c>
      <c r="G59" s="32">
        <f t="shared" si="1"/>
        <v>33.5275668</v>
      </c>
    </row>
    <row r="60" spans="2:7" ht="12">
      <c r="B60" s="27">
        <v>54</v>
      </c>
      <c r="C60" s="7" t="s">
        <v>263</v>
      </c>
      <c r="D60" s="7" t="s">
        <v>240</v>
      </c>
      <c r="E60" s="12">
        <v>0.224</v>
      </c>
      <c r="F60" s="14">
        <v>145.0764</v>
      </c>
      <c r="G60" s="32">
        <f t="shared" si="1"/>
        <v>32.4971136</v>
      </c>
    </row>
    <row r="61" spans="2:7" ht="12">
      <c r="B61" s="27">
        <v>55</v>
      </c>
      <c r="C61" s="7" t="s">
        <v>264</v>
      </c>
      <c r="D61" s="7" t="s">
        <v>235</v>
      </c>
      <c r="E61" s="12">
        <v>0.0006</v>
      </c>
      <c r="F61" s="14">
        <v>263507.643</v>
      </c>
      <c r="G61" s="32">
        <f t="shared" si="1"/>
        <v>158.10458579999997</v>
      </c>
    </row>
    <row r="62" spans="2:7" ht="12">
      <c r="B62" s="27">
        <v>56</v>
      </c>
      <c r="C62" s="7" t="s">
        <v>265</v>
      </c>
      <c r="D62" s="7" t="s">
        <v>266</v>
      </c>
      <c r="E62" s="12">
        <v>0.3</v>
      </c>
      <c r="F62" s="14">
        <v>4105.4328000000005</v>
      </c>
      <c r="G62" s="32">
        <f aca="true" t="shared" si="2" ref="G62:G93">E62*F62</f>
        <v>1231.62984</v>
      </c>
    </row>
    <row r="63" spans="2:7" ht="12">
      <c r="B63" s="27">
        <v>57</v>
      </c>
      <c r="C63" s="7" t="s">
        <v>267</v>
      </c>
      <c r="D63" s="7" t="s">
        <v>268</v>
      </c>
      <c r="E63" s="12">
        <v>0.005</v>
      </c>
      <c r="F63" s="14">
        <v>7403.167799999999</v>
      </c>
      <c r="G63" s="32">
        <f t="shared" si="2"/>
        <v>37.015839</v>
      </c>
    </row>
    <row r="64" spans="2:7" ht="12">
      <c r="B64" s="27">
        <v>58</v>
      </c>
      <c r="C64" s="7" t="s">
        <v>269</v>
      </c>
      <c r="D64" s="7" t="s">
        <v>228</v>
      </c>
      <c r="E64" s="12">
        <v>0.4</v>
      </c>
      <c r="F64" s="14">
        <v>262.9746</v>
      </c>
      <c r="G64" s="32">
        <f t="shared" si="2"/>
        <v>105.18984</v>
      </c>
    </row>
    <row r="65" spans="2:7" ht="12">
      <c r="B65" s="27">
        <v>59</v>
      </c>
      <c r="C65" s="7" t="s">
        <v>270</v>
      </c>
      <c r="D65" s="7" t="s">
        <v>228</v>
      </c>
      <c r="E65" s="12">
        <v>0.4</v>
      </c>
      <c r="F65" s="14">
        <v>20259.5904</v>
      </c>
      <c r="G65" s="32">
        <f t="shared" si="2"/>
        <v>8103.836160000001</v>
      </c>
    </row>
    <row r="66" spans="2:7" ht="12">
      <c r="B66" s="27">
        <v>60</v>
      </c>
      <c r="C66" s="7" t="s">
        <v>271</v>
      </c>
      <c r="D66" s="7" t="s">
        <v>228</v>
      </c>
      <c r="E66" s="12">
        <v>0.2</v>
      </c>
      <c r="F66" s="14">
        <v>1633.7033999999999</v>
      </c>
      <c r="G66" s="32">
        <f t="shared" si="2"/>
        <v>326.74068</v>
      </c>
    </row>
    <row r="67" spans="2:7" ht="12">
      <c r="B67" s="27">
        <v>61</v>
      </c>
      <c r="C67" s="7" t="s">
        <v>272</v>
      </c>
      <c r="D67" s="7" t="s">
        <v>240</v>
      </c>
      <c r="E67" s="12">
        <v>0.396</v>
      </c>
      <c r="F67" s="14">
        <v>48.3966</v>
      </c>
      <c r="G67" s="32">
        <f t="shared" si="2"/>
        <v>19.1650536</v>
      </c>
    </row>
    <row r="68" spans="2:7" ht="12">
      <c r="B68" s="27">
        <v>62</v>
      </c>
      <c r="C68" s="7" t="s">
        <v>273</v>
      </c>
      <c r="D68" s="7" t="s">
        <v>266</v>
      </c>
      <c r="E68" s="12">
        <v>2.4</v>
      </c>
      <c r="F68" s="14">
        <v>2700.0792</v>
      </c>
      <c r="G68" s="32">
        <f t="shared" si="2"/>
        <v>6480.19008</v>
      </c>
    </row>
    <row r="69" spans="2:7" ht="12">
      <c r="B69" s="27">
        <v>63</v>
      </c>
      <c r="C69" s="7" t="s">
        <v>274</v>
      </c>
      <c r="D69" s="7" t="s">
        <v>235</v>
      </c>
      <c r="E69" s="12">
        <v>0.0001144</v>
      </c>
      <c r="F69" s="14">
        <v>167406.61140000002</v>
      </c>
      <c r="G69" s="32">
        <f t="shared" si="2"/>
        <v>19.15131634416</v>
      </c>
    </row>
    <row r="70" spans="2:7" ht="24">
      <c r="B70" s="27">
        <v>64</v>
      </c>
      <c r="C70" s="7" t="s">
        <v>275</v>
      </c>
      <c r="D70" s="7" t="s">
        <v>255</v>
      </c>
      <c r="E70" s="12">
        <v>1</v>
      </c>
      <c r="F70" s="14">
        <v>1175.076</v>
      </c>
      <c r="G70" s="32">
        <f t="shared" si="2"/>
        <v>1175.076</v>
      </c>
    </row>
    <row r="71" spans="2:7" ht="12">
      <c r="B71" s="27">
        <v>65</v>
      </c>
      <c r="C71" s="7" t="s">
        <v>276</v>
      </c>
      <c r="D71" s="7" t="s">
        <v>277</v>
      </c>
      <c r="E71" s="12">
        <v>0.1272</v>
      </c>
      <c r="F71" s="14">
        <v>582.687</v>
      </c>
      <c r="G71" s="32">
        <f t="shared" si="2"/>
        <v>74.1177864</v>
      </c>
    </row>
    <row r="72" spans="2:7" ht="12">
      <c r="B72" s="27">
        <v>66</v>
      </c>
      <c r="C72" s="7" t="s">
        <v>278</v>
      </c>
      <c r="D72" s="7" t="s">
        <v>279</v>
      </c>
      <c r="E72" s="12">
        <v>4.4</v>
      </c>
      <c r="F72" s="14">
        <v>94.0086</v>
      </c>
      <c r="G72" s="32">
        <f t="shared" si="2"/>
        <v>413.63784000000004</v>
      </c>
    </row>
    <row r="73" spans="2:7" ht="12">
      <c r="B73" s="27">
        <v>67</v>
      </c>
      <c r="C73" s="7" t="s">
        <v>280</v>
      </c>
      <c r="D73" s="7" t="s">
        <v>228</v>
      </c>
      <c r="E73" s="12">
        <v>1.5</v>
      </c>
      <c r="F73" s="14">
        <v>310.6404</v>
      </c>
      <c r="G73" s="32">
        <f t="shared" si="2"/>
        <v>465.9606</v>
      </c>
    </row>
    <row r="74" spans="2:7" ht="12">
      <c r="B74" s="27">
        <v>68</v>
      </c>
      <c r="C74" s="7" t="s">
        <v>281</v>
      </c>
      <c r="D74" s="7" t="s">
        <v>282</v>
      </c>
      <c r="E74" s="12">
        <v>3.3</v>
      </c>
      <c r="F74" s="14">
        <v>35.1162</v>
      </c>
      <c r="G74" s="32">
        <f t="shared" si="2"/>
        <v>115.88345999999999</v>
      </c>
    </row>
    <row r="75" spans="2:7" ht="12">
      <c r="B75" s="27">
        <v>69</v>
      </c>
      <c r="C75" s="7" t="s">
        <v>283</v>
      </c>
      <c r="D75" s="7" t="s">
        <v>284</v>
      </c>
      <c r="E75" s="12">
        <v>28.74</v>
      </c>
      <c r="F75" s="14">
        <v>188.92440000000002</v>
      </c>
      <c r="G75" s="32">
        <f t="shared" si="2"/>
        <v>5429.687256</v>
      </c>
    </row>
    <row r="76" spans="2:7" ht="36">
      <c r="B76" s="27">
        <v>70</v>
      </c>
      <c r="C76" s="7" t="s">
        <v>285</v>
      </c>
      <c r="D76" s="7" t="s">
        <v>284</v>
      </c>
      <c r="E76" s="12">
        <v>2</v>
      </c>
      <c r="F76" s="14">
        <v>96.6798</v>
      </c>
      <c r="G76" s="32">
        <f t="shared" si="2"/>
        <v>193.3596</v>
      </c>
    </row>
    <row r="77" spans="2:7" ht="36">
      <c r="B77" s="27">
        <v>71</v>
      </c>
      <c r="C77" s="7" t="s">
        <v>286</v>
      </c>
      <c r="D77" s="7" t="s">
        <v>284</v>
      </c>
      <c r="E77" s="12">
        <v>14</v>
      </c>
      <c r="F77" s="14">
        <v>70.3332</v>
      </c>
      <c r="G77" s="32">
        <f t="shared" si="2"/>
        <v>984.6648</v>
      </c>
    </row>
    <row r="78" spans="2:7" ht="36">
      <c r="B78" s="27">
        <v>72</v>
      </c>
      <c r="C78" s="7" t="s">
        <v>287</v>
      </c>
      <c r="D78" s="7" t="s">
        <v>284</v>
      </c>
      <c r="E78" s="12">
        <v>10</v>
      </c>
      <c r="F78" s="14">
        <v>91.65239999999999</v>
      </c>
      <c r="G78" s="32">
        <f t="shared" si="2"/>
        <v>916.5239999999999</v>
      </c>
    </row>
    <row r="79" spans="2:7" ht="12">
      <c r="B79" s="27">
        <v>73</v>
      </c>
      <c r="C79" s="7" t="s">
        <v>288</v>
      </c>
      <c r="D79" s="7" t="s">
        <v>266</v>
      </c>
      <c r="E79" s="12">
        <v>0.3</v>
      </c>
      <c r="F79" s="14">
        <v>2424.9582</v>
      </c>
      <c r="G79" s="32">
        <f t="shared" si="2"/>
        <v>727.4874599999999</v>
      </c>
    </row>
    <row r="80" spans="2:7" ht="12">
      <c r="B80" s="27">
        <v>74</v>
      </c>
      <c r="C80" s="7" t="s">
        <v>289</v>
      </c>
      <c r="D80" s="7" t="s">
        <v>35</v>
      </c>
      <c r="E80" s="12">
        <v>0.15</v>
      </c>
      <c r="F80" s="14">
        <v>1864.5102000000002</v>
      </c>
      <c r="G80" s="32">
        <f t="shared" si="2"/>
        <v>279.67653</v>
      </c>
    </row>
    <row r="81" spans="2:7" ht="12">
      <c r="B81" s="27">
        <v>75</v>
      </c>
      <c r="C81" s="7" t="s">
        <v>290</v>
      </c>
      <c r="D81" s="7" t="s">
        <v>228</v>
      </c>
      <c r="E81" s="12">
        <v>4.6</v>
      </c>
      <c r="F81" s="14">
        <v>446.3676</v>
      </c>
      <c r="G81" s="32">
        <f t="shared" si="2"/>
        <v>2053.29096</v>
      </c>
    </row>
    <row r="82" spans="2:7" ht="12">
      <c r="B82" s="27">
        <v>76</v>
      </c>
      <c r="C82" s="7" t="s">
        <v>291</v>
      </c>
      <c r="D82" s="7" t="s">
        <v>235</v>
      </c>
      <c r="E82" s="12">
        <v>0.002008</v>
      </c>
      <c r="F82" s="14">
        <v>30663.4356</v>
      </c>
      <c r="G82" s="32">
        <f t="shared" si="2"/>
        <v>61.572178684799994</v>
      </c>
    </row>
    <row r="83" spans="2:7" ht="12">
      <c r="B83" s="27">
        <v>77</v>
      </c>
      <c r="C83" s="7" t="s">
        <v>292</v>
      </c>
      <c r="D83" s="7" t="s">
        <v>235</v>
      </c>
      <c r="E83" s="12">
        <v>0.0008</v>
      </c>
      <c r="F83" s="14">
        <v>100717.41960000001</v>
      </c>
      <c r="G83" s="32">
        <f t="shared" si="2"/>
        <v>80.57393568</v>
      </c>
    </row>
    <row r="84" spans="2:7" ht="12">
      <c r="B84" s="52" t="s">
        <v>225</v>
      </c>
      <c r="C84" s="53"/>
      <c r="D84" s="53"/>
      <c r="E84" s="53"/>
      <c r="F84" s="54"/>
      <c r="G84" s="33">
        <f>SUM(G30:G83)</f>
        <v>82587.64371204816</v>
      </c>
    </row>
    <row r="85" spans="2:7" ht="16.5">
      <c r="B85" s="51" t="s">
        <v>293</v>
      </c>
      <c r="C85" s="51"/>
      <c r="D85" s="51"/>
      <c r="E85" s="51"/>
      <c r="F85" s="51"/>
      <c r="G85" s="51"/>
    </row>
    <row r="86" spans="2:7" ht="12">
      <c r="B86" s="26">
        <v>78</v>
      </c>
      <c r="C86" s="28" t="s">
        <v>294</v>
      </c>
      <c r="D86" s="28" t="s">
        <v>228</v>
      </c>
      <c r="E86" s="29">
        <v>0.56383357</v>
      </c>
      <c r="F86" s="30">
        <v>152.208</v>
      </c>
      <c r="G86" s="31">
        <f aca="true" t="shared" si="3" ref="G86:G97">E86*F86</f>
        <v>85.81998002256</v>
      </c>
    </row>
    <row r="87" spans="2:7" ht="12">
      <c r="B87" s="27">
        <v>79</v>
      </c>
      <c r="C87" s="7" t="s">
        <v>295</v>
      </c>
      <c r="D87" s="7" t="s">
        <v>228</v>
      </c>
      <c r="E87" s="12">
        <v>6.43526137</v>
      </c>
      <c r="F87" s="14">
        <v>104.58</v>
      </c>
      <c r="G87" s="32">
        <f t="shared" si="3"/>
        <v>672.9996340746</v>
      </c>
    </row>
    <row r="88" spans="2:7" ht="12">
      <c r="B88" s="27">
        <v>80</v>
      </c>
      <c r="C88" s="7" t="s">
        <v>296</v>
      </c>
      <c r="D88" s="7" t="s">
        <v>228</v>
      </c>
      <c r="E88" s="12">
        <v>0.0096</v>
      </c>
      <c r="F88" s="14">
        <v>133.56</v>
      </c>
      <c r="G88" s="32">
        <f t="shared" si="3"/>
        <v>1.282176</v>
      </c>
    </row>
    <row r="89" spans="2:7" ht="12">
      <c r="B89" s="27">
        <v>81</v>
      </c>
      <c r="C89" s="7" t="s">
        <v>297</v>
      </c>
      <c r="D89" s="7" t="s">
        <v>228</v>
      </c>
      <c r="E89" s="12">
        <v>0.394364</v>
      </c>
      <c r="F89" s="14">
        <v>150.192</v>
      </c>
      <c r="G89" s="32">
        <f t="shared" si="3"/>
        <v>59.230317888</v>
      </c>
    </row>
    <row r="90" spans="2:7" ht="12">
      <c r="B90" s="27">
        <v>82</v>
      </c>
      <c r="C90" s="7" t="s">
        <v>298</v>
      </c>
      <c r="D90" s="7" t="s">
        <v>228</v>
      </c>
      <c r="E90" s="12">
        <v>0.024</v>
      </c>
      <c r="F90" s="14">
        <v>179.424</v>
      </c>
      <c r="G90" s="32">
        <f t="shared" si="3"/>
        <v>4.306176000000001</v>
      </c>
    </row>
    <row r="91" spans="2:7" ht="12">
      <c r="B91" s="27">
        <v>83</v>
      </c>
      <c r="C91" s="7" t="s">
        <v>299</v>
      </c>
      <c r="D91" s="7" t="s">
        <v>228</v>
      </c>
      <c r="E91" s="12">
        <v>17.637924</v>
      </c>
      <c r="F91" s="14">
        <v>82.65599999999999</v>
      </c>
      <c r="G91" s="32">
        <f t="shared" si="3"/>
        <v>1457.880246144</v>
      </c>
    </row>
    <row r="92" spans="2:7" ht="12">
      <c r="B92" s="27">
        <v>84</v>
      </c>
      <c r="C92" s="7" t="s">
        <v>300</v>
      </c>
      <c r="D92" s="7" t="s">
        <v>228</v>
      </c>
      <c r="E92" s="12">
        <v>0.029928</v>
      </c>
      <c r="F92" s="14">
        <v>140.112</v>
      </c>
      <c r="G92" s="32">
        <f t="shared" si="3"/>
        <v>4.1932719359999995</v>
      </c>
    </row>
    <row r="93" spans="2:7" ht="12">
      <c r="B93" s="27">
        <v>85</v>
      </c>
      <c r="C93" s="7" t="s">
        <v>301</v>
      </c>
      <c r="D93" s="7" t="s">
        <v>228</v>
      </c>
      <c r="E93" s="12">
        <v>0.28573932</v>
      </c>
      <c r="F93" s="14">
        <v>99.79200000000002</v>
      </c>
      <c r="G93" s="32">
        <f t="shared" si="3"/>
        <v>28.514498221440007</v>
      </c>
    </row>
    <row r="94" spans="2:7" ht="12">
      <c r="B94" s="27">
        <v>86</v>
      </c>
      <c r="C94" s="7" t="s">
        <v>302</v>
      </c>
      <c r="D94" s="7" t="s">
        <v>228</v>
      </c>
      <c r="E94" s="12">
        <v>0.095</v>
      </c>
      <c r="F94" s="14">
        <v>2670.1919999999996</v>
      </c>
      <c r="G94" s="32">
        <f t="shared" si="3"/>
        <v>253.66823999999997</v>
      </c>
    </row>
    <row r="95" spans="2:7" ht="12">
      <c r="B95" s="27">
        <v>87</v>
      </c>
      <c r="C95" s="7" t="s">
        <v>303</v>
      </c>
      <c r="D95" s="7" t="s">
        <v>228</v>
      </c>
      <c r="E95" s="12">
        <v>0.00877782</v>
      </c>
      <c r="F95" s="14">
        <v>69.552</v>
      </c>
      <c r="G95" s="32">
        <f t="shared" si="3"/>
        <v>0.6105149366400001</v>
      </c>
    </row>
    <row r="96" spans="2:7" ht="12">
      <c r="B96" s="27">
        <v>88</v>
      </c>
      <c r="C96" s="7" t="s">
        <v>304</v>
      </c>
      <c r="D96" s="7" t="s">
        <v>228</v>
      </c>
      <c r="E96" s="12">
        <v>0.05408</v>
      </c>
      <c r="F96" s="14">
        <v>554.4</v>
      </c>
      <c r="G96" s="32">
        <f t="shared" si="3"/>
        <v>29.981952</v>
      </c>
    </row>
    <row r="97" spans="2:7" ht="12">
      <c r="B97" s="27">
        <v>89</v>
      </c>
      <c r="C97" s="7" t="s">
        <v>305</v>
      </c>
      <c r="D97" s="7" t="s">
        <v>228</v>
      </c>
      <c r="E97" s="12">
        <v>0.02420075</v>
      </c>
      <c r="F97" s="14">
        <v>146.16</v>
      </c>
      <c r="G97" s="32">
        <f t="shared" si="3"/>
        <v>3.53718162</v>
      </c>
    </row>
    <row r="98" spans="2:7" ht="12">
      <c r="B98" s="52" t="s">
        <v>225</v>
      </c>
      <c r="C98" s="53"/>
      <c r="D98" s="53"/>
      <c r="E98" s="53"/>
      <c r="F98" s="54"/>
      <c r="G98" s="33">
        <f>SUM(G86:G97)</f>
        <v>2602.0241888432406</v>
      </c>
    </row>
    <row r="99" spans="2:7" ht="16.5">
      <c r="B99" s="51" t="s">
        <v>306</v>
      </c>
      <c r="C99" s="51"/>
      <c r="D99" s="51"/>
      <c r="E99" s="51"/>
      <c r="F99" s="51"/>
      <c r="G99" s="51"/>
    </row>
    <row r="100" spans="2:7" ht="12">
      <c r="B100" s="26">
        <v>90</v>
      </c>
      <c r="C100" s="28" t="s">
        <v>307</v>
      </c>
      <c r="D100" s="28" t="s">
        <v>308</v>
      </c>
      <c r="E100" s="29">
        <v>11.16</v>
      </c>
      <c r="F100" s="30">
        <v>866.6612</v>
      </c>
      <c r="G100" s="31">
        <f>E100*F100</f>
        <v>9671.938992</v>
      </c>
    </row>
    <row r="101" spans="2:7" ht="12">
      <c r="B101" s="27">
        <v>91</v>
      </c>
      <c r="C101" s="7" t="s">
        <v>309</v>
      </c>
      <c r="D101" s="7" t="s">
        <v>308</v>
      </c>
      <c r="E101" s="12">
        <v>19.8</v>
      </c>
      <c r="F101" s="14">
        <v>72.94399999999999</v>
      </c>
      <c r="G101" s="32">
        <f>E101*F101</f>
        <v>1444.2912</v>
      </c>
    </row>
    <row r="102" spans="2:7" ht="12">
      <c r="B102" s="27">
        <v>92</v>
      </c>
      <c r="C102" s="7" t="s">
        <v>310</v>
      </c>
      <c r="D102" s="7" t="s">
        <v>308</v>
      </c>
      <c r="E102" s="12">
        <v>4.2336</v>
      </c>
      <c r="F102" s="14">
        <v>1026.8277999999998</v>
      </c>
      <c r="G102" s="32">
        <f>E102*F102</f>
        <v>4347.178174079999</v>
      </c>
    </row>
    <row r="103" spans="2:7" ht="12">
      <c r="B103" s="27">
        <v>93</v>
      </c>
      <c r="C103" s="7" t="s">
        <v>311</v>
      </c>
      <c r="D103" s="7" t="s">
        <v>308</v>
      </c>
      <c r="E103" s="12">
        <v>13.5408</v>
      </c>
      <c r="F103" s="14">
        <v>689.1515999999999</v>
      </c>
      <c r="G103" s="32">
        <f>E103*F103</f>
        <v>9331.66398528</v>
      </c>
    </row>
    <row r="104" spans="2:7" ht="12">
      <c r="B104" s="52" t="s">
        <v>225</v>
      </c>
      <c r="C104" s="53"/>
      <c r="D104" s="53"/>
      <c r="E104" s="53"/>
      <c r="F104" s="54"/>
      <c r="G104" s="33">
        <f>SUM(G100:G103)</f>
        <v>24795.07235136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98:F98"/>
    <mergeCell ref="B99:G99"/>
    <mergeCell ref="B104:F104"/>
    <mergeCell ref="B1:G1"/>
    <mergeCell ref="B4:G4"/>
    <mergeCell ref="B28:F28"/>
    <mergeCell ref="B29:G29"/>
    <mergeCell ref="B84:F84"/>
    <mergeCell ref="B85:G85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Galina</cp:lastModifiedBy>
  <dcterms:created xsi:type="dcterms:W3CDTF">2019-04-10T21:54:09Z</dcterms:created>
  <dcterms:modified xsi:type="dcterms:W3CDTF">2019-04-10T18:54:05Z</dcterms:modified>
  <cp:category>ÑÐ¼ÐµÑ‚Ð°</cp:category>
  <cp:version/>
  <cp:contentType/>
  <cp:contentStatus/>
</cp:coreProperties>
</file>